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924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<sst xmlns="http://schemas.openxmlformats.org/spreadsheetml/2006/main" count="757" uniqueCount="125">
  <si>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</si>
  <si>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</si>
  <si>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</si>
  <si>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</si>
  <si>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</si>
  <si>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</si>
  <si>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</si>
  <si>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</si>
  <si>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</si>
  <si>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</si>
  <si>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</si>
  <si>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</si>
  <si>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</si>
  <si>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</si>
  <si>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</si>
  <si>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</si>
  <si>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</si>
  <si>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</si>
  <si>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</si>
  <si>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</si>
  <si>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</si>
  <si>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</si>
  <si>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</si>
  <si>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</si>
  <si>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</si>
  <si>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</si>
  <si>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</si>
  <si>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</si>
  <si>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</si>
  <si>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</si>
  <si>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</si>
  <si>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</si>
  <si>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</si>
  <si>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</si>
  <si>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</si>
  <si>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</si>
  <si>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</si>
  <si>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</si>
  <si>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</si>
  <si>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</si>
  <si>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</si>
  <si>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</si>
  <si>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КП ТМ Харківського району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</si>
  <si>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</si>
  <si>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</si>
  <si>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</si>
  <si>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</si>
  <si>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</si>
  <si>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</si>
  <si>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</si>
  <si>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</si>
  <si>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</si>
  <si>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</si>
  <si>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</si>
  <si>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</si>
  <si>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</si>
  <si>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</si>
  <si>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</si>
  <si>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</si>
  <si>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</si>
  <si>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</si>
  <si>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</si>
  <si>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</si>
  <si>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</si>
  <si>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</si>
  <si>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</si>
  <si>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</si>
  <si>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</si>
  <si>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</si>
  <si>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</si>
  <si>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</si>
  <si>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</si>
  <si>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</si>
  <si>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</si>
  <si>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</si>
  <si>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</si>
  <si>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КП ТС Харьковского района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</si>
  <si>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</si>
  <si>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</si>
  <si>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</si>
  <si>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</si>
  <si>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</si>
  <si>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</si>
  <si>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</si>
  <si>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</si>
  <si>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</si>
  <si>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</si>
  <si>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</si>
  <si>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</si>
  <si>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</si>
  <si>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</si>
  <si>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</si>
  <si>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</si>
  <si>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</si>
  <si>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</si>
  <si>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</si>
  <si>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</si>
  <si>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</si>
  <si>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</si>
  <si>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</si>
  <si>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</si>
  <si>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</si>
  <si>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</si>
  <si>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</si>
  <si>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</si>
  <si>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</si>
  <si>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</si>
  <si>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</si>
  <si>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</si>
  <si>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</si>
  <si>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</si>
  <si>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</si>
  <si>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</si>
  <si>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</si>
  <si>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</si>
  <si>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</si>
  <si>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</si>
  <si>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на 01.01.2015</t>
  </si>
  <si>
    <t>С.В. Магдисюк</t>
  </si>
  <si>
    <t xml:space="preserve">Директор Департамента </t>
  </si>
  <si>
    <t>Задолженность за  2015 год по состоянию на 21.08.2015</t>
  </si>
  <si>
    <t>по оплате услуг теплоснабжения, оказанных c начала 2015 года, по состоянию на 18.12.2015</t>
  </si>
  <si>
    <t>Задолженность за  2015 год по состоянию на 18.12.2015</t>
  </si>
  <si>
    <t>Общая задолженность на 18.12.2015 (с учетом долгов прошлых лет)</t>
  </si>
  <si>
    <t>с начала 2015 года (c учетом  начислений ноября)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</si>
</sst>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4" fillId="36" borderId="0" xfId="0" applyFont="1" applyFill="1" applyAlignment="1">
      <alignment/>
    </xf>
    <xf numFmtId="188" fontId="4" fillId="36" borderId="0" xfId="0" applyNumberFormat="1" applyFont="1" applyFill="1" applyAlignment="1">
      <alignment/>
    </xf>
    <xf numFmtId="0" fontId="4" fillId="36" borderId="10" xfId="0" applyFont="1" applyFill="1" applyBorder="1" applyAlignment="1">
      <alignment/>
    </xf>
    <xf numFmtId="188" fontId="3" fillId="36" borderId="0" xfId="0" applyNumberFormat="1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68" fillId="36" borderId="0" xfId="0" applyFont="1" applyFill="1" applyAlignment="1">
      <alignment wrapText="1"/>
    </xf>
    <xf numFmtId="188" fontId="65" fillId="36" borderId="0" xfId="0" applyNumberFormat="1" applyFont="1" applyFill="1" applyAlignment="1">
      <alignment/>
    </xf>
    <xf numFmtId="188" fontId="68" fillId="36" borderId="0" xfId="0" applyNumberFormat="1" applyFont="1" applyFill="1" applyAlignment="1">
      <alignment/>
    </xf>
    <xf numFmtId="0" fontId="68" fillId="36" borderId="0" xfId="0" applyFont="1" applyFill="1" applyAlignment="1">
      <alignment horizontal="right"/>
    </xf>
    <xf numFmtId="0" fontId="68" fillId="36" borderId="0" xfId="0" applyFont="1" applyFill="1" applyAlignment="1">
      <alignment horizontal="left" vertical="center" wrapText="1"/>
    </xf>
    <xf numFmtId="0" fontId="68" fillId="36" borderId="0" xfId="0" applyFont="1" applyFill="1" applyAlignment="1">
      <alignment horizontal="right" wrapText="1"/>
    </xf>
    <xf numFmtId="0" fontId="65" fillId="36" borderId="10" xfId="0" applyFont="1" applyFill="1" applyBorder="1" applyAlignment="1">
      <alignment/>
    </xf>
    <xf numFmtId="0" fontId="65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88" fontId="65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4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24" xfId="0" applyNumberFormat="1" applyFont="1" applyFill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center" vertical="center" wrapText="1"/>
    </xf>
    <xf numFmtId="192" fontId="3" fillId="0" borderId="21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>
      <alignment horizontal="center"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192" fontId="3" fillId="0" borderId="23" xfId="0" applyNumberFormat="1" applyFont="1" applyFill="1" applyBorder="1" applyAlignment="1">
      <alignment horizontal="center" vertical="center" wrapText="1"/>
    </xf>
    <xf numFmtId="0" fontId="69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 horizontal="left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4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64832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22">
      <selection activeCell="B26" sqref="B26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1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95"/>
      <c r="W1" s="95"/>
    </row>
    <row r="2" spans="2:23" ht="18.75">
      <c r="B2" s="200" t="s">
        <v>100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95"/>
      <c r="W2" s="95"/>
    </row>
    <row r="3" spans="2:23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95"/>
      <c r="W3" s="95"/>
    </row>
    <row r="4" spans="2:23" ht="13.5" customHeight="1">
      <c r="B4" s="201"/>
      <c r="C4" s="201"/>
      <c r="D4" s="201"/>
      <c r="E4" s="201"/>
      <c r="F4" s="201"/>
      <c r="U4" s="74" t="s">
        <v>54</v>
      </c>
      <c r="V4" s="95"/>
      <c r="W4" s="95"/>
    </row>
    <row r="5" spans="1:23" ht="42" customHeight="1">
      <c r="A5" s="117"/>
      <c r="B5" s="3"/>
      <c r="C5" s="202" t="s">
        <v>1</v>
      </c>
      <c r="D5" s="197" t="s">
        <v>110</v>
      </c>
      <c r="E5" s="198"/>
      <c r="F5" s="199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  <c r="V5" s="178"/>
      <c r="W5" s="179"/>
    </row>
    <row r="6" spans="1:23" ht="33.75" customHeight="1">
      <c r="A6" s="4" t="s">
        <v>39</v>
      </c>
      <c r="B6" s="4" t="s">
        <v>50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  <c r="V6" s="180"/>
      <c r="W6" s="181"/>
    </row>
    <row r="7" spans="1:23" ht="26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  <c r="V7" s="182"/>
      <c r="W7" s="183"/>
    </row>
    <row r="8" spans="1:23" s="7" customFormat="1" ht="43.5" customHeight="1">
      <c r="A8" s="119"/>
      <c r="B8" s="75" t="s">
        <v>55</v>
      </c>
      <c r="C8" s="154">
        <f>SUM(C9:C43)</f>
        <v>168667.9</v>
      </c>
      <c r="D8" s="154">
        <f>населення!D8+льготи!D8+субсидии!D8+'держ.бюджет'!D8+'місц.-район.бюджет'!D8+обласной!D8+'госпрозрахунк.'!D8</f>
        <v>161812.2</v>
      </c>
      <c r="E8" s="154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530125.7</v>
      </c>
      <c r="H8" s="16">
        <f>населення!H8+льготи!H8+субсидии!H8+'держ.бюджет'!H8+'місц.-район.бюджет'!H8+обласной!H8+'госпрозрахунк.'!H8</f>
        <v>521876.9</v>
      </c>
      <c r="I8" s="17">
        <f>H8/G8*100</f>
        <v>98.44399167970919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45021.8</v>
      </c>
      <c r="U8" s="59">
        <f aca="true" t="shared" si="1" ref="U8:U23">C8+G8-H8</f>
        <v>176916.69999999995</v>
      </c>
      <c r="V8" s="16"/>
      <c r="W8" s="16"/>
    </row>
    <row r="9" spans="1:24" ht="39.75" customHeight="1">
      <c r="A9" s="120">
        <v>1</v>
      </c>
      <c r="B9" s="23" t="s">
        <v>56</v>
      </c>
      <c r="C9" s="155">
        <f>населення!C9+льготи!C9+субсидии!C9+'держ.бюджет'!C9+'місц.-район.бюджет'!C9+обласной!C9+'госпрозрахунк.'!C9</f>
        <v>12294.1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44448.700000000004</v>
      </c>
      <c r="H9" s="24">
        <f>населення!H9+льготи!H9+субсидии!H9+'держ.бюджет'!H9+'місц.-район.бюджет'!H9+обласной!H9+'госпрозрахунк.'!H9</f>
        <v>45091.4</v>
      </c>
      <c r="I9" s="18">
        <f>H9/G9*100</f>
        <v>101.44593655157519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-642.6999999999971</v>
      </c>
      <c r="U9" s="16">
        <f t="shared" si="1"/>
        <v>11651.400000000001</v>
      </c>
      <c r="V9" s="24"/>
      <c r="W9" s="24"/>
      <c r="X9" s="9"/>
    </row>
    <row r="10" spans="1:23" ht="44.25" customHeight="1">
      <c r="A10" s="120">
        <v>2</v>
      </c>
      <c r="B10" s="53" t="s">
        <v>91</v>
      </c>
      <c r="C10" s="155">
        <f>населення!C10+льготи!C10+субсидии!C10+'держ.бюджет'!C10+'місц.-район.бюджет'!C10+обласной!C10+'госпрозрахунк.'!C10</f>
        <v>14.000000000000004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5875.9</v>
      </c>
      <c r="H10" s="24">
        <f>населення!H10+льготи!H10+субсидии!H10+'держ.бюджет'!H10+'місц.-район.бюджет'!H10+обласной!H10+'госпрозрахунк.'!H10</f>
        <v>6697.599999999999</v>
      </c>
      <c r="I10" s="18">
        <f>H10/G10*100</f>
        <v>113.98424071206112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-821.6999999999998</v>
      </c>
      <c r="U10" s="16">
        <f t="shared" si="1"/>
        <v>-807.6999999999998</v>
      </c>
      <c r="V10" s="24"/>
      <c r="W10" s="24"/>
    </row>
    <row r="11" spans="1:23" ht="41.25" customHeight="1">
      <c r="A11" s="120">
        <v>3</v>
      </c>
      <c r="B11" s="25" t="s">
        <v>108</v>
      </c>
      <c r="C11" s="155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1624.6</v>
      </c>
      <c r="H11" s="24">
        <f>населення!H11+льготи!H11+субсидии!H11+'держ.бюджет'!H11+'місц.-район.бюджет'!H11+обласной!H11+'госпрозрахунк.'!H11</f>
        <v>1688.1</v>
      </c>
      <c r="I11" s="18">
        <f aca="true" t="shared" si="6" ref="I11:I23">H11/G11*100</f>
        <v>103.90865443801552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-63.5</v>
      </c>
      <c r="U11" s="16">
        <f t="shared" si="1"/>
        <v>-63.5</v>
      </c>
      <c r="V11" s="24"/>
      <c r="W11" s="24"/>
    </row>
    <row r="12" spans="1:23" ht="24" customHeight="1">
      <c r="A12" s="120">
        <v>4</v>
      </c>
      <c r="B12" s="23" t="s">
        <v>57</v>
      </c>
      <c r="C12" s="155">
        <f>населення!C12+льготи!C12+субсидии!C12+'держ.бюджет'!C12+'місц.-район.бюджет'!C12+обласной!C12+'госпрозрахунк.'!C12</f>
        <v>159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1797.6000000000001</v>
      </c>
      <c r="H12" s="24">
        <f>населення!H12+льготи!H12+субсидии!H12+'держ.бюджет'!H12+'місц.-район.бюджет'!H12+обласной!H12+'госпрозрахунк.'!H12</f>
        <v>2589.4999999999995</v>
      </c>
      <c r="I12" s="18">
        <f t="shared" si="6"/>
        <v>144.0531820204717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-791.8999999999994</v>
      </c>
      <c r="U12" s="16">
        <f t="shared" si="1"/>
        <v>-632.8999999999994</v>
      </c>
      <c r="V12" s="24"/>
      <c r="W12" s="24"/>
    </row>
    <row r="13" spans="1:23" ht="24" customHeight="1">
      <c r="A13" s="121">
        <v>5</v>
      </c>
      <c r="B13" s="23" t="s">
        <v>89</v>
      </c>
      <c r="C13" s="155">
        <f>населення!C13+льготи!C13+субсидии!C13+'держ.бюджет'!C13+'місц.-район.бюджет'!C13+обласной!C13+'госпрозрахунк.'!C13</f>
        <v>3072.7999999999997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9659.5</v>
      </c>
      <c r="H13" s="24">
        <f>населення!H13+льготи!H13+субсидии!H13+'держ.бюджет'!H13+'місц.-район.бюджет'!H13+обласной!H13+'госпрозрахунк.'!H13</f>
        <v>9761.1</v>
      </c>
      <c r="I13" s="18">
        <f t="shared" si="6"/>
        <v>101.05181427610125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-101.60000000000036</v>
      </c>
      <c r="U13" s="16">
        <f t="shared" si="1"/>
        <v>2971.199999999999</v>
      </c>
      <c r="V13" s="24"/>
      <c r="W13" s="24"/>
    </row>
    <row r="14" spans="1:23" ht="24" customHeight="1">
      <c r="A14" s="120">
        <v>6</v>
      </c>
      <c r="B14" s="23" t="s">
        <v>58</v>
      </c>
      <c r="C14" s="155">
        <f>населення!C14+льготи!C14+субсидии!C14+'держ.бюджет'!C14+'місц.-район.бюджет'!C14+обласной!C14+'госпрозрахунк.'!C14</f>
        <v>605.4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3646.4999999999995</v>
      </c>
      <c r="H14" s="24">
        <f>населення!H14+льготи!H14+субсидии!H14+'держ.бюджет'!H14+'місц.-район.бюджет'!H14+обласной!H14+'госпрозрахунк.'!H14</f>
        <v>3349.1</v>
      </c>
      <c r="I14" s="18">
        <f t="shared" si="6"/>
        <v>91.84423419717538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297.39999999999964</v>
      </c>
      <c r="U14" s="16">
        <f t="shared" si="1"/>
        <v>902.7999999999997</v>
      </c>
      <c r="V14" s="24"/>
      <c r="W14" s="24"/>
    </row>
    <row r="15" spans="1:23" ht="24" customHeight="1">
      <c r="A15" s="120">
        <v>7</v>
      </c>
      <c r="B15" s="23" t="s">
        <v>59</v>
      </c>
      <c r="C15" s="155">
        <f>населення!C15+льготи!C15+субсидии!C15+'держ.бюджет'!C15+'місц.-район.бюджет'!C15+обласной!C15+'госпрозрахунк.'!C15</f>
        <v>-65.89999999999999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3387.7</v>
      </c>
      <c r="H15" s="24">
        <f>населення!H15+льготи!H15+субсидии!H15+'держ.бюджет'!H15+'місц.-район.бюджет'!H15+обласной!H15+'госпрозрахунк.'!H15</f>
        <v>3943.7999999999997</v>
      </c>
      <c r="I15" s="18">
        <f t="shared" si="6"/>
        <v>116.41526699530655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-556.0999999999999</v>
      </c>
      <c r="U15" s="16">
        <f t="shared" si="1"/>
        <v>-622</v>
      </c>
      <c r="V15" s="24"/>
      <c r="W15" s="24"/>
    </row>
    <row r="16" spans="1:23" ht="24" customHeight="1">
      <c r="A16" s="120">
        <v>8</v>
      </c>
      <c r="B16" s="23" t="s">
        <v>60</v>
      </c>
      <c r="C16" s="155">
        <f>населення!C16+льготи!C16+субсидии!C16+'держ.бюджет'!C16+'місц.-район.бюджет'!C16+обласной!C16+'госпрозрахунк.'!C16</f>
        <v>631.2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16829.3</v>
      </c>
      <c r="H16" s="24">
        <f>населення!H16+льготи!H16+субсидии!H16+'держ.бюджет'!H16+'місц.-район.бюджет'!H16+обласной!H16+'госпрозрахунк.'!H16</f>
        <v>14525.1</v>
      </c>
      <c r="I16" s="18">
        <f t="shared" si="6"/>
        <v>86.30840260735741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2304.199999999999</v>
      </c>
      <c r="U16" s="16">
        <f t="shared" si="1"/>
        <v>2935.3999999999996</v>
      </c>
      <c r="V16" s="24"/>
      <c r="W16" s="24"/>
    </row>
    <row r="17" spans="1:23" ht="24" customHeight="1">
      <c r="A17" s="121">
        <v>9</v>
      </c>
      <c r="B17" s="23" t="s">
        <v>61</v>
      </c>
      <c r="C17" s="155">
        <f>населення!C17+льготи!C17+субсидии!C17+'держ.бюджет'!C17+'місц.-район.бюджет'!C17+обласной!C17+'госпрозрахунк.'!C17</f>
        <v>316.80000000000007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4710.5</v>
      </c>
      <c r="H17" s="24">
        <f>населення!H17+льготи!H17+субсидии!H17+'держ.бюджет'!H17+'місц.-район.бюджет'!H17+обласной!H17+'госпрозрахунк.'!H17</f>
        <v>4659.7</v>
      </c>
      <c r="I17" s="18">
        <f t="shared" si="6"/>
        <v>98.92155822099565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50.80000000000018</v>
      </c>
      <c r="U17" s="16">
        <f t="shared" si="1"/>
        <v>367.60000000000036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62</v>
      </c>
      <c r="C18" s="155">
        <f>населення!C18+льготи!C18+субсидии!C18+'держ.бюджет'!C18+'місц.-район.бюджет'!C18+обласной!C18+'госпрозрахунк.'!C18</f>
        <v>5282.299999999999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9730.6</v>
      </c>
      <c r="H18" s="24">
        <f>населення!H18+льготи!H18+субсидии!H18+'держ.бюджет'!H18+'місц.-район.бюджет'!H18+обласной!H18+'госпрозрахунк.'!H18</f>
        <v>9398.9</v>
      </c>
      <c r="I18" s="18">
        <f t="shared" si="6"/>
        <v>96.59116601237334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331.7000000000007</v>
      </c>
      <c r="U18" s="16">
        <f t="shared" si="1"/>
        <v>5614</v>
      </c>
      <c r="V18" s="24"/>
      <c r="W18" s="24"/>
    </row>
    <row r="19" spans="1:23" ht="24" customHeight="1">
      <c r="A19" s="121">
        <v>11</v>
      </c>
      <c r="B19" s="25" t="s">
        <v>63</v>
      </c>
      <c r="C19" s="155">
        <f>населення!C19+льготи!C19+субсидии!C19+'держ.бюджет'!C19+'місц.-район.бюджет'!C19+обласной!C19+'госпрозрахунк.'!C19</f>
        <v>-7.700000000000001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1318.5</v>
      </c>
      <c r="H19" s="24">
        <f>населення!H19+льготи!H19+субсидии!H19+'держ.бюджет'!H19+'місц.-район.бюджет'!H19+обласной!H19+'госпрозрахунк.'!H19</f>
        <v>1252.8</v>
      </c>
      <c r="I19" s="18">
        <f t="shared" si="6"/>
        <v>95.01706484641637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65.70000000000005</v>
      </c>
      <c r="U19" s="16">
        <f t="shared" si="1"/>
        <v>58</v>
      </c>
      <c r="V19" s="24"/>
      <c r="W19" s="24"/>
    </row>
    <row r="20" spans="1:23" ht="24" customHeight="1">
      <c r="A20" s="121">
        <v>12</v>
      </c>
      <c r="B20" s="23" t="s">
        <v>90</v>
      </c>
      <c r="C20" s="155">
        <f>населення!C20+льготи!C20+субсидии!C20+'держ.бюджет'!C20+'місц.-район.бюджет'!C20+обласной!C20+'госпрозрахунк.'!C20</f>
        <v>1820.3999999999996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10334.5</v>
      </c>
      <c r="H20" s="24">
        <f>населення!H20+льготи!H20+субсидии!H20+'держ.бюджет'!H20+'місц.-район.бюджет'!H20+обласной!H20+'госпрозрахунк.'!H20</f>
        <v>9960.6</v>
      </c>
      <c r="I20" s="18">
        <f t="shared" si="6"/>
        <v>96.38202138468237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373.89999999999964</v>
      </c>
      <c r="U20" s="16">
        <f t="shared" si="1"/>
        <v>2194.2999999999993</v>
      </c>
      <c r="V20" s="24"/>
      <c r="W20" s="24"/>
    </row>
    <row r="21" spans="1:23" ht="24" customHeight="1">
      <c r="A21" s="120">
        <v>13</v>
      </c>
      <c r="B21" s="25" t="s">
        <v>64</v>
      </c>
      <c r="C21" s="155">
        <f>населення!C21+льготи!C21+субсидии!C21+'держ.бюджет'!C21+'місц.-район.бюджет'!C21+обласной!C21+'госпрозрахунк.'!C21</f>
        <v>-27.2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-11.2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11.2</v>
      </c>
      <c r="U21" s="16">
        <f t="shared" si="1"/>
        <v>-16</v>
      </c>
      <c r="V21" s="24"/>
      <c r="W21" s="24"/>
    </row>
    <row r="22" spans="1:23" ht="24" customHeight="1">
      <c r="A22" s="121">
        <v>14</v>
      </c>
      <c r="B22" s="25" t="s">
        <v>65</v>
      </c>
      <c r="C22" s="155">
        <f>населення!C22+льготи!C22+субсидии!C22+'держ.бюджет'!C22+'місц.-район.бюджет'!C22+обласной!C22+'госпрозрахунк.'!C22</f>
        <v>-280.40000000000003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2782.2</v>
      </c>
      <c r="H22" s="24">
        <f>населення!H22+льготи!H22+субсидии!H22+'держ.бюджет'!H22+'місц.-район.бюджет'!H22+обласной!H22+'госпрозрахунк.'!H22</f>
        <v>2490.6</v>
      </c>
      <c r="I22" s="18">
        <f t="shared" si="6"/>
        <v>89.51908561569981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291.5999999999999</v>
      </c>
      <c r="U22" s="69">
        <f t="shared" si="1"/>
        <v>11.199999999999818</v>
      </c>
      <c r="V22" s="24">
        <f>U22+U38</f>
        <v>15329.500000000004</v>
      </c>
      <c r="W22" s="24"/>
    </row>
    <row r="23" spans="1:23" ht="36.75" customHeight="1">
      <c r="A23" s="121">
        <v>15</v>
      </c>
      <c r="B23" s="25" t="s">
        <v>66</v>
      </c>
      <c r="C23" s="155">
        <f>населення!C23+льготи!C23+субсидии!C23+'держ.бюджет'!C23+'місц.-район.бюджет'!C23+обласной!C23+'госпрозрахунк.'!C23</f>
        <v>129.9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5602.400000000001</v>
      </c>
      <c r="H23" s="24">
        <f>населення!H23+льготи!H23+субсидии!H23+'держ.бюджет'!H23+'місц.-район.бюджет'!H23+обласной!H23+'госпрозрахунк.'!H23</f>
        <v>5542.8</v>
      </c>
      <c r="I23" s="18">
        <f t="shared" si="6"/>
        <v>98.93617021276594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59.600000000000364</v>
      </c>
      <c r="U23" s="16">
        <f t="shared" si="1"/>
        <v>189.5</v>
      </c>
      <c r="V23" s="24"/>
      <c r="W23" s="24"/>
    </row>
    <row r="24" spans="1:23" ht="24" customHeight="1">
      <c r="A24" s="121">
        <v>16</v>
      </c>
      <c r="B24" s="25" t="s">
        <v>67</v>
      </c>
      <c r="C24" s="240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V24" s="24"/>
      <c r="W24" s="24"/>
    </row>
    <row r="25" spans="1:23" ht="34.5" customHeight="1">
      <c r="A25" s="121">
        <v>17</v>
      </c>
      <c r="B25" s="25" t="s">
        <v>68</v>
      </c>
      <c r="C25" s="155">
        <f>населення!C25+льготи!C25+субсидии!C25+'держ.бюджет'!C25+'місц.-район.бюджет'!C25+обласной!C25+'госпрозрахунк.'!C25</f>
        <v>5098.5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26601.3</v>
      </c>
      <c r="H25" s="24">
        <f>населення!H25+льготи!H25+субсидии!H25+'держ.бюджет'!H25+'місц.-район.бюджет'!H25+обласной!H25+'госпрозрахунк.'!H25</f>
        <v>26673.3</v>
      </c>
      <c r="I25" s="18">
        <f>H25/G25*100</f>
        <v>100.27066346381568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-72</v>
      </c>
      <c r="U25" s="16">
        <f>C25+G25-H25</f>
        <v>5026.5</v>
      </c>
      <c r="V25" s="24"/>
      <c r="W25" s="24"/>
    </row>
    <row r="26" spans="1:23" ht="22.5" customHeight="1">
      <c r="A26" s="121">
        <v>18</v>
      </c>
      <c r="B26" s="23" t="s">
        <v>69</v>
      </c>
      <c r="C26" s="155">
        <f>населення!C26+льготи!C26+субсидии!C26+'держ.бюджет'!C26+'місц.-район.бюджет'!C26+обласной!C26+'госпрозрахунк.'!C26</f>
        <v>299.2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5609.400000000001</v>
      </c>
      <c r="H26" s="24">
        <f>населення!H26+льготи!H26+субсидии!H26+'держ.бюджет'!H26+'місц.-район.бюджет'!H26+обласной!H26+'госпрозрахунк.'!H26</f>
        <v>6637.9</v>
      </c>
      <c r="I26" s="129">
        <f>H26/G26*100</f>
        <v>118.33529432737902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-1028.499999999999</v>
      </c>
      <c r="U26" s="16">
        <f>C26+G26-H26</f>
        <v>-729.2999999999993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70</v>
      </c>
      <c r="C27" s="155">
        <f>населення!C27+льготи!C27+субсидии!C27+'держ.бюджет'!C27+'місц.-район.бюджет'!C27+обласной!C27+'госпрозрахунк.'!C27</f>
        <v>1220.8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4828.299999999999</v>
      </c>
      <c r="H27" s="24">
        <f>населення!H27+льготи!H27+субсидии!H27+'держ.бюджет'!H27+'місц.-район.бюджет'!H27+обласной!H27+'госпрозрахунк.'!H27</f>
        <v>5368.1</v>
      </c>
      <c r="I27" s="18">
        <f>H27/G27*100</f>
        <v>111.17991839777979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-539.8000000000011</v>
      </c>
      <c r="U27" s="16">
        <f>C27+G27-H27</f>
        <v>680.9999999999991</v>
      </c>
      <c r="V27" s="24"/>
      <c r="W27" s="24"/>
    </row>
    <row r="28" spans="1:23" ht="30" customHeight="1">
      <c r="A28" s="121">
        <v>20</v>
      </c>
      <c r="B28" s="25" t="s">
        <v>105</v>
      </c>
      <c r="C28" s="155">
        <f>населення!C28+льготи!C28+субсидии!C28+'держ.бюджет'!C28+'місц.-район.бюджет'!C28+обласной!C28+'госпрозрахунк.'!C28</f>
        <v>789.6999999999998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12009</v>
      </c>
      <c r="H28" s="24">
        <f>населення!H28+льготи!H28+субсидии!H28+'держ.бюджет'!H28+'місц.-район.бюджет'!H28+обласной!H28+'госпрозрахунк.'!H28</f>
        <v>11857.9</v>
      </c>
      <c r="I28" s="129">
        <f>H28/G28*100</f>
        <v>98.7417770005829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151.10000000000036</v>
      </c>
      <c r="U28" s="16">
        <f>C28+G28-H28</f>
        <v>940.8000000000011</v>
      </c>
      <c r="V28" s="24"/>
      <c r="W28" s="24"/>
    </row>
    <row r="29" spans="1:23" ht="30.75" customHeight="1">
      <c r="A29" s="121">
        <v>21</v>
      </c>
      <c r="B29" s="23" t="s">
        <v>71</v>
      </c>
      <c r="C29" s="155">
        <f>населення!C29+льготи!C29+субсидии!C29+'держ.бюджет'!C29+'місц.-район.бюджет'!C29+обласной!C29+'госпрозрахунк.'!C29</f>
        <v>916.3000000000001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9548.1</v>
      </c>
      <c r="H29" s="24">
        <f>населення!H29+льготи!H29+субсидии!H29+'держ.бюджет'!H29+'місц.-район.бюджет'!H29+обласной!H29+'госпрозрахунк.'!H29</f>
        <v>9760.7</v>
      </c>
      <c r="I29" s="18">
        <f>H29/G29*100</f>
        <v>102.22662100313151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-212.60000000000036</v>
      </c>
      <c r="U29" s="16">
        <f>C29+G29-H29</f>
        <v>703.6999999999989</v>
      </c>
      <c r="V29" s="24"/>
      <c r="W29" s="24"/>
    </row>
    <row r="30" spans="1:23" ht="24.75" customHeight="1">
      <c r="A30" s="121">
        <v>22</v>
      </c>
      <c r="B30" s="23" t="s">
        <v>72</v>
      </c>
      <c r="C30" s="24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V30" s="24"/>
      <c r="W30" s="24"/>
    </row>
    <row r="31" spans="1:23" ht="24.75" customHeight="1">
      <c r="A31" s="121">
        <v>23</v>
      </c>
      <c r="B31" s="25" t="s">
        <v>73</v>
      </c>
      <c r="C31" s="24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V31" s="24"/>
      <c r="W31" s="24"/>
    </row>
    <row r="32" spans="1:23" ht="24.75" customHeight="1">
      <c r="A32" s="121">
        <v>24</v>
      </c>
      <c r="B32" s="25" t="s">
        <v>74</v>
      </c>
      <c r="C32" s="243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V32" s="24"/>
      <c r="W32" s="24"/>
    </row>
    <row r="33" spans="1:23" ht="24.75" customHeight="1">
      <c r="A33" s="121">
        <v>25</v>
      </c>
      <c r="B33" s="25" t="s">
        <v>75</v>
      </c>
      <c r="C33" s="155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1"/>
      <c r="B34" s="25" t="s">
        <v>76</v>
      </c>
      <c r="C34" s="155">
        <f>населення!C34+льготи!C34+субсидии!C34+'держ.бюджет'!C34+'місц.-район.бюджет'!C34+обласной!C34+'госпрозрахунк.'!C34</f>
        <v>17584.799999999996</v>
      </c>
      <c r="D34" s="41">
        <f>населення!D34+льготи!D34+субсидии!D34+'держ.бюджет'!D34+'місц.-район.бюджет'!D34+обласной!D34+'госпрозрахунк.'!D34</f>
        <v>17114.899999999998</v>
      </c>
      <c r="E34" s="41">
        <f>населення!E34+льготи!E34+субсидии!E34+'держ.бюджет'!E34+'місц.-район.бюджет'!E34+обласной!E34+'госпрозрахунк.'!E34</f>
        <v>16557</v>
      </c>
      <c r="F34" s="40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56071.100000000006</v>
      </c>
      <c r="H34" s="24">
        <f>населення!H34+льготи!H34+субсидии!H34+'держ.бюджет'!H34+'місц.-район.бюджет'!H34+обласной!H34+'госпрозрахунк.'!H34</f>
        <v>57807.1</v>
      </c>
      <c r="I34" s="18">
        <f>H34/G34*100</f>
        <v>103.0960690979845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-1735.9999999999927</v>
      </c>
      <c r="U34" s="16">
        <f aca="true" t="shared" si="11" ref="U34:U44">C34+G34-H34</f>
        <v>15848.799999999996</v>
      </c>
      <c r="V34" s="24"/>
      <c r="W34" s="24"/>
    </row>
    <row r="35" spans="1:23" ht="24.75" customHeight="1">
      <c r="A35" s="121"/>
      <c r="B35" s="25" t="s">
        <v>77</v>
      </c>
      <c r="C35" s="155">
        <f>населення!C35+льготи!C35+субсидии!C35+'держ.бюджет'!C35+'місц.-район.бюджет'!C35+обласной!C35+'госпрозрахунк.'!C35</f>
        <v>128.3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5920.900000000001</v>
      </c>
      <c r="H35" s="24">
        <f>населення!H35+льготи!H35+субсидии!H35+'держ.бюджет'!H35+'місц.-район.бюджет'!H35+обласной!H35+'госпрозрахунк.'!H35</f>
        <v>6034.4</v>
      </c>
      <c r="I35" s="18">
        <f aca="true" t="shared" si="12" ref="I35:I44">H35/G35*100</f>
        <v>101.91693830329847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-113.49999999999909</v>
      </c>
      <c r="U35" s="16">
        <f t="shared" si="11"/>
        <v>14.800000000001091</v>
      </c>
      <c r="V35" s="24"/>
      <c r="W35" s="24"/>
    </row>
    <row r="36" spans="1:23" ht="36.75" customHeight="1">
      <c r="A36" s="121">
        <v>26</v>
      </c>
      <c r="B36" s="25" t="s">
        <v>106</v>
      </c>
      <c r="C36" s="155">
        <f>населення!C36+льготи!C36+субсидии!C36+'держ.бюджет'!C36+'місц.-район.бюджет'!C36+обласной!C36+'госпрозрахунк.'!C36</f>
        <v>5843.299999999999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20347.1</v>
      </c>
      <c r="H36" s="24">
        <f>населення!H36+льготи!H36+субсидии!H36+'держ.бюджет'!H36+'місц.-район.бюджет'!H36+обласной!H36+'госпрозрахунк.'!H36</f>
        <v>13682.800000000001</v>
      </c>
      <c r="I36" s="18">
        <f t="shared" si="12"/>
        <v>67.24692953787027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6664.299999999997</v>
      </c>
      <c r="U36" s="16">
        <f t="shared" si="11"/>
        <v>12507.599999999997</v>
      </c>
      <c r="V36" s="24"/>
      <c r="W36" s="24"/>
    </row>
    <row r="37" spans="1:23" ht="27.75" customHeight="1">
      <c r="A37" s="121">
        <v>27</v>
      </c>
      <c r="B37" s="23" t="s">
        <v>78</v>
      </c>
      <c r="C37" s="155">
        <f>населення!C37+льготи!C37+субсидии!C37+'держ.бюджет'!C37+'місц.-район.бюджет'!C37+обласной!C37+'госпрозрахунк.'!C37</f>
        <v>166.2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f>населення!E37+льготи!E37+субсидии!E37+'держ.бюджет'!E37+'місц.-район.бюджет'!E37+обласной!E37+'госпрозрахунк.'!E37</f>
        <v>2659.7999999999997</v>
      </c>
      <c r="F37" s="40">
        <f t="shared" si="0"/>
        <v>102.06838328408611</v>
      </c>
      <c r="G37" s="24">
        <f>населення!G37+льготи!G37+субсидии!G37+'держ.бюджет'!G37+'місц.-район.бюджет'!G37+обласной!G37+'госпрозрахунк.'!G37</f>
        <v>6874.200000000001</v>
      </c>
      <c r="H37" s="24">
        <f>населення!H37+льготи!H37+субсидии!H37+'держ.бюджет'!H37+'місц.-район.бюджет'!H37+обласной!H37+'госпрозрахунк.'!H37</f>
        <v>7340.300000000001</v>
      </c>
      <c r="I37" s="18">
        <f t="shared" si="12"/>
        <v>106.78042535858718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-466.10000000000036</v>
      </c>
      <c r="U37" s="16">
        <f t="shared" si="11"/>
        <v>-299.90000000000055</v>
      </c>
      <c r="V37" s="24"/>
      <c r="W37" s="24"/>
    </row>
    <row r="38" spans="1:23" ht="24.75" customHeight="1">
      <c r="A38" s="121">
        <v>28</v>
      </c>
      <c r="B38" s="25" t="s">
        <v>79</v>
      </c>
      <c r="C38" s="155">
        <f>населення!C38+льготи!C38+субсидии!C38+'держ.бюджет'!C38+'місц.-район.бюджет'!C38+обласной!C38+'госпрозрахунк.'!C38</f>
        <v>12155.900000000001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44625.2</v>
      </c>
      <c r="H38" s="24">
        <f>населення!H38+льготи!H38+субсидии!H38+'держ.бюджет'!H38+'місц.-район.бюджет'!H38+обласной!H38+'госпрозрахунк.'!H38</f>
        <v>41462.799999999996</v>
      </c>
      <c r="I38" s="18">
        <f t="shared" si="12"/>
        <v>92.91342111631992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3162.4000000000015</v>
      </c>
      <c r="U38" s="69">
        <f t="shared" si="11"/>
        <v>15318.300000000003</v>
      </c>
      <c r="V38" s="24"/>
      <c r="W38" s="24"/>
    </row>
    <row r="39" spans="1:23" ht="24.75" customHeight="1">
      <c r="A39" s="121">
        <v>29</v>
      </c>
      <c r="B39" s="25" t="s">
        <v>80</v>
      </c>
      <c r="C39" s="155">
        <f>населення!C39+льготи!C39+субсидии!C39+'держ.бюджет'!C39+'місц.-район.бюджет'!C39+обласной!C39+'госпрозрахунк.'!C39</f>
        <v>24651.4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41500.2</v>
      </c>
      <c r="H39" s="24">
        <f>населення!H39+льготи!H39+субсидии!H39+'держ.бюджет'!H39+'місц.-район.бюджет'!H39+обласной!H39+'госпрозрахунк.'!H39</f>
        <v>48055.700000000004</v>
      </c>
      <c r="I39" s="18">
        <f t="shared" si="12"/>
        <v>115.79630941537633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-6555.500000000007</v>
      </c>
      <c r="U39" s="16">
        <f t="shared" si="11"/>
        <v>18095.9</v>
      </c>
      <c r="V39" s="24"/>
      <c r="W39" s="24"/>
    </row>
    <row r="40" spans="1:23" ht="39" customHeight="1">
      <c r="A40" s="121">
        <v>30</v>
      </c>
      <c r="B40" s="25" t="s">
        <v>107</v>
      </c>
      <c r="C40" s="155">
        <f>населення!C40+льготи!C40+субсидии!C40+'держ.бюджет'!C40+'місц.-район.бюджет'!C40+обласной!C40+'госпрозрахунк.'!C40</f>
        <v>56049.299999999996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92033.70000000001</v>
      </c>
      <c r="H40" s="24">
        <f>населення!H40+льготи!H40+субсидии!H40+'держ.бюджет'!H40+'місц.-район.бюджет'!H40+обласной!H40+'госпрозрахунк.'!H40</f>
        <v>91569.3</v>
      </c>
      <c r="I40" s="18">
        <f t="shared" si="12"/>
        <v>99.49540222766224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464.40000000000873</v>
      </c>
      <c r="U40" s="16">
        <f t="shared" si="11"/>
        <v>56513.7</v>
      </c>
      <c r="V40" s="24"/>
      <c r="W40" s="24"/>
    </row>
    <row r="41" spans="1:23" ht="24.75" customHeight="1">
      <c r="A41" s="121">
        <v>31</v>
      </c>
      <c r="B41" s="25" t="s">
        <v>81</v>
      </c>
      <c r="C41" s="155">
        <f>населення!C41+льготи!C41+субсидии!C41+'держ.бюджет'!C41+'місц.-район.бюджет'!C41+обласной!C41+'госпрозрахунк.'!C41</f>
        <v>426.2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1980.8</v>
      </c>
      <c r="H41" s="24">
        <f>населення!H41+льготи!H41+субсидии!H41+'держ.бюджет'!H41+'місц.-район.бюджет'!H41+обласной!H41+'госпрозрахунк.'!H41</f>
        <v>1938.8999999999999</v>
      </c>
      <c r="I41" s="18">
        <f t="shared" si="12"/>
        <v>97.88469305331179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41.90000000000009</v>
      </c>
      <c r="U41" s="16">
        <f t="shared" si="11"/>
        <v>468.10000000000014</v>
      </c>
      <c r="V41" s="24"/>
      <c r="W41" s="24"/>
    </row>
    <row r="42" spans="1:23" ht="37.5" customHeight="1">
      <c r="A42" s="121">
        <v>32</v>
      </c>
      <c r="B42" s="23" t="s">
        <v>82</v>
      </c>
      <c r="C42" s="155">
        <f>населення!C42+льготи!C42+субсидии!C42+'держ.бюджет'!C42+'місц.-район.бюджет'!C42+обласной!C42+'госпрозрахунк.'!C42</f>
        <v>13485.099999999999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40477.3</v>
      </c>
      <c r="H42" s="24">
        <f>населення!H42+льготи!H42+субсидии!H42+'держ.бюджет'!H42+'місц.-район.бюджет'!H42+обласной!H42+'госпрозрахунк.'!H42</f>
        <v>35973.100000000006</v>
      </c>
      <c r="I42" s="18">
        <f t="shared" si="12"/>
        <v>88.87228150098944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4504.199999999997</v>
      </c>
      <c r="U42" s="16">
        <f t="shared" si="11"/>
        <v>17989.299999999996</v>
      </c>
      <c r="V42" s="24"/>
      <c r="W42" s="24"/>
    </row>
    <row r="43" spans="1:23" ht="24.75" customHeight="1">
      <c r="A43" s="121">
        <v>33</v>
      </c>
      <c r="B43" s="25" t="s">
        <v>83</v>
      </c>
      <c r="C43" s="155">
        <f>населення!C43+льготи!C43+субсидии!C43+'держ.бюджет'!C43+'місц.-район.бюджет'!C43+обласной!C43+'госпрозрахунк.'!C43</f>
        <v>5908.2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39950.6</v>
      </c>
      <c r="H43" s="24">
        <f>населення!H43+льготи!H43+субсидии!H43+'держ.бюджет'!H43+'місц.-район.бюджет'!H43+обласной!H43+'госпрозрахунк.'!H43</f>
        <v>36774.700000000004</v>
      </c>
      <c r="I43" s="18">
        <f t="shared" si="12"/>
        <v>92.05043228387059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3175.899999999994</v>
      </c>
      <c r="U43" s="16">
        <f t="shared" si="11"/>
        <v>9084.099999999991</v>
      </c>
      <c r="V43" s="24"/>
      <c r="W43" s="24"/>
    </row>
    <row r="44" spans="1:23" s="7" customFormat="1" ht="24.75" customHeight="1">
      <c r="A44" s="156">
        <v>34</v>
      </c>
      <c r="B44" s="6" t="s">
        <v>84</v>
      </c>
      <c r="C44" s="154">
        <f>SUM(C45:C47)</f>
        <v>1195099.3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2759280.6</v>
      </c>
      <c r="H44" s="16">
        <f>SUM(H45:H47)</f>
        <v>2546297.1</v>
      </c>
      <c r="I44" s="17">
        <f t="shared" si="12"/>
        <v>92.28119459833117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236445.2</v>
      </c>
      <c r="U44" s="59">
        <f t="shared" si="11"/>
        <v>1408082.8000000003</v>
      </c>
      <c r="V44" s="24"/>
      <c r="W44" s="16"/>
    </row>
    <row r="45" spans="1:24" s="7" customFormat="1" ht="25.5" customHeight="1">
      <c r="A45" s="156"/>
      <c r="B45" s="23" t="s">
        <v>85</v>
      </c>
      <c r="C45" s="155">
        <f>населення!C45+льготи!C45+субсидии!C45+'держ.бюджет'!C45+'місц.-район.бюджет'!C45+обласной!C45+'госпрозрахунк.'!C45</f>
        <v>1183703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2590693</v>
      </c>
      <c r="H45" s="24">
        <f>населення!H45+льготи!H45+субсидии!H45+'держ.бюджет'!H45+'місц.-район.бюджет'!H45+обласной!H45+'госпрозрахунк.'!H45</f>
        <v>2356195</v>
      </c>
      <c r="I45" s="18">
        <f>H45/G45*100</f>
        <v>90.94844506855888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234498</v>
      </c>
      <c r="U45" s="24">
        <f>C45+G45-H45</f>
        <v>1418201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86</v>
      </c>
      <c r="C46" s="155">
        <f>населення!C46+льготи!C46+субсидии!C46+'держ.бюджет'!C46+'місц.-район.бюджет'!C46+обласной!C46+'госпрозрахунк.'!C46</f>
        <v>9171.1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136746.2</v>
      </c>
      <c r="H46" s="24">
        <f>населення!H46+льготи!H46+субсидии!H46+'держ.бюджет'!H46+'місц.-район.бюджет'!H46+обласной!H46+'госпрозрахунк.'!H46</f>
        <v>155511.90000000002</v>
      </c>
      <c r="I46" s="18">
        <f>H46/G46*100</f>
        <v>113.72301387533987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-18765.70000000001</v>
      </c>
      <c r="U46" s="24">
        <f>C46+G46-H46</f>
        <v>-9594.600000000006</v>
      </c>
      <c r="V46" s="24"/>
      <c r="W46" s="24"/>
      <c r="X46" s="1"/>
    </row>
    <row r="47" spans="1:24" s="7" customFormat="1" ht="24.75" customHeight="1">
      <c r="A47" s="122"/>
      <c r="B47" s="23" t="s">
        <v>77</v>
      </c>
      <c r="C47" s="155">
        <f>населення!C47+льготи!C47+субсидии!C47+'держ.бюджет'!C47+'місц.-район.бюджет'!C47+обласной!C47+'госпрозрахунк.'!C47</f>
        <v>2225.2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31841.399999999998</v>
      </c>
      <c r="H47" s="24">
        <f>населення!H47+льготи!H47+субсидии!H47+'держ.бюджет'!H47+'місц.-район.бюджет'!H47+обласной!H47+'госпрозрахунк.'!H47</f>
        <v>34590.2</v>
      </c>
      <c r="I47" s="18">
        <f>H47/G47*100</f>
        <v>108.63278624683588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-2748.7999999999993</v>
      </c>
      <c r="U47" s="24">
        <f>C47+G47-H47</f>
        <v>-523.5999999999985</v>
      </c>
      <c r="V47" s="24"/>
      <c r="W47" s="24"/>
      <c r="X47" s="1"/>
    </row>
    <row r="48" spans="1:23" s="7" customFormat="1" ht="24.75" customHeight="1">
      <c r="A48" s="156"/>
      <c r="B48" s="6" t="s">
        <v>87</v>
      </c>
      <c r="C48" s="154">
        <f>C8+C44</f>
        <v>1363767.2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3289406.3</v>
      </c>
      <c r="H48" s="16">
        <f>H8+H44</f>
        <v>3068174</v>
      </c>
      <c r="I48" s="17">
        <f>H48/G48*100</f>
        <v>93.27440030743543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281466.99999999994</v>
      </c>
      <c r="U48" s="59">
        <f>C48+G48-H48</f>
        <v>1584999.5</v>
      </c>
      <c r="V48" s="24"/>
      <c r="W48" s="16"/>
    </row>
    <row r="49" spans="1:23" s="7" customFormat="1" ht="24.7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6"/>
      <c r="W49" s="6"/>
    </row>
    <row r="50" spans="1:23" s="7" customFormat="1" ht="15.7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1"/>
      <c r="W50" s="6"/>
    </row>
    <row r="51" spans="1:23" s="7" customFormat="1" ht="6.75" customHeight="1" hidden="1">
      <c r="A51" s="100"/>
      <c r="B51" s="56"/>
      <c r="C51" s="162"/>
      <c r="D51" s="163"/>
      <c r="E51" s="16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56"/>
      <c r="B52" s="7" t="s">
        <v>92</v>
      </c>
      <c r="C52" s="164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5"/>
      <c r="B53" s="7"/>
      <c r="C53" s="164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56"/>
      <c r="B54" s="7" t="s">
        <v>93</v>
      </c>
      <c r="C54" s="164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66"/>
      <c r="D55" s="167"/>
      <c r="E55" s="167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76" customFormat="1" ht="47.25" customHeight="1">
      <c r="A56" s="168"/>
      <c r="B56" s="196" t="s">
        <v>119</v>
      </c>
      <c r="C56" s="196"/>
      <c r="D56" s="196"/>
      <c r="E56" s="196"/>
      <c r="F56" s="196"/>
      <c r="G56" s="169"/>
      <c r="H56" s="169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2"/>
      <c r="U56" s="173" t="s">
        <v>118</v>
      </c>
      <c r="V56" s="174"/>
      <c r="W56" s="175"/>
    </row>
    <row r="57" spans="1:23" ht="73.5" customHeight="1" hidden="1">
      <c r="A57" s="177" t="s">
        <v>116</v>
      </c>
      <c r="B57" s="177"/>
      <c r="C57" s="177"/>
      <c r="D57" s="177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1"/>
      <c r="W57" s="1"/>
    </row>
    <row r="58" spans="2:21" ht="18.75">
      <c r="B58" s="1" t="s">
        <v>43</v>
      </c>
      <c r="C58" s="155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4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1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3" sqref="I13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17" t="s">
        <v>101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14"/>
      <c r="E4" s="14"/>
      <c r="F4" s="14"/>
      <c r="U4" s="74" t="s">
        <v>54</v>
      </c>
    </row>
    <row r="5" spans="1:21" ht="36.75" customHeight="1">
      <c r="A5" s="117"/>
      <c r="B5" s="3"/>
      <c r="C5" s="202" t="s">
        <v>1</v>
      </c>
      <c r="D5" s="204" t="s">
        <v>110</v>
      </c>
      <c r="E5" s="205"/>
      <c r="F5" s="206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</row>
    <row r="6" spans="1:21" ht="18.75">
      <c r="A6" s="4" t="s">
        <v>39</v>
      </c>
      <c r="B6" s="4" t="s">
        <v>50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38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66">
        <f>SUM(C9:C43)</f>
        <v>136590.8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137596.90000000002</v>
      </c>
      <c r="H8" s="17">
        <f>SUM(H9:H43)</f>
        <v>138601.6</v>
      </c>
      <c r="I8" s="17">
        <f>H8/G8*100</f>
        <v>100.73017633391447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6751.299999999999</v>
      </c>
      <c r="U8" s="105">
        <f>SUMIF(U9:U43,"&gt;0",U9:U43)</f>
        <v>135586.09999999998</v>
      </c>
      <c r="V8" s="105">
        <f>SUMIF(T9:T43,"&lt;0",T9:T43)</f>
        <v>-7756.000000000005</v>
      </c>
      <c r="W8" s="105">
        <f>SUMIF(U9:U43,"&lt;0",U9:U43)</f>
        <v>0</v>
      </c>
    </row>
    <row r="9" spans="1:21" ht="36.75" customHeight="1">
      <c r="A9" s="120">
        <v>1</v>
      </c>
      <c r="B9" s="23" t="s">
        <v>56</v>
      </c>
      <c r="C9" s="41">
        <v>9220.6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14211.8</v>
      </c>
      <c r="H9" s="18">
        <v>12606.9</v>
      </c>
      <c r="I9" s="18">
        <f aca="true" t="shared" si="1" ref="I9:I28">H9/G9*100</f>
        <v>88.70727142233919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1604.8999999999996</v>
      </c>
      <c r="U9" s="16">
        <f aca="true" t="shared" si="2" ref="U9:U22">C9+G9-H9</f>
        <v>10825.500000000002</v>
      </c>
    </row>
    <row r="10" spans="1:21" ht="41.25" customHeight="1">
      <c r="A10" s="120">
        <v>2</v>
      </c>
      <c r="B10" s="53" t="s">
        <v>91</v>
      </c>
      <c r="C10" s="41">
        <v>53.1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113.7</v>
      </c>
      <c r="H10" s="18">
        <v>105</v>
      </c>
      <c r="I10" s="18">
        <f t="shared" si="1"/>
        <v>92.34828496042216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8.700000000000003</v>
      </c>
      <c r="U10" s="16">
        <f t="shared" si="2"/>
        <v>61.80000000000001</v>
      </c>
    </row>
    <row r="11" spans="1:21" ht="35.25" customHeight="1">
      <c r="A11" s="120">
        <v>3</v>
      </c>
      <c r="B11" s="25" t="s">
        <v>108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57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89</v>
      </c>
      <c r="C13" s="41">
        <f>941.6-33.3</f>
        <v>908.3000000000001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1230.8</v>
      </c>
      <c r="H13" s="18">
        <v>1883.5</v>
      </c>
      <c r="I13" s="18">
        <f t="shared" si="1"/>
        <v>153.0305492362691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-652.7</v>
      </c>
      <c r="U13" s="16">
        <f t="shared" si="2"/>
        <v>255.5999999999999</v>
      </c>
    </row>
    <row r="14" spans="1:21" ht="24" customHeight="1">
      <c r="A14" s="120">
        <v>6</v>
      </c>
      <c r="B14" s="23" t="s">
        <v>58</v>
      </c>
      <c r="C14" s="41">
        <v>100.2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93.8</v>
      </c>
      <c r="H14" s="18">
        <v>97.9</v>
      </c>
      <c r="I14" s="18">
        <f t="shared" si="1"/>
        <v>104.37100213219617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-4.1000000000000085</v>
      </c>
      <c r="U14" s="16">
        <f t="shared" si="2"/>
        <v>96.1</v>
      </c>
    </row>
    <row r="15" spans="1:21" ht="24" customHeight="1">
      <c r="A15" s="120">
        <v>7</v>
      </c>
      <c r="B15" s="23" t="s">
        <v>59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60</v>
      </c>
      <c r="C16" s="41">
        <v>809.3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2601.1</v>
      </c>
      <c r="H16" s="18">
        <v>2741.1</v>
      </c>
      <c r="I16" s="18">
        <f t="shared" si="1"/>
        <v>105.3823382415132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-140</v>
      </c>
      <c r="U16" s="16">
        <f t="shared" si="2"/>
        <v>669.2999999999997</v>
      </c>
    </row>
    <row r="17" spans="1:21" ht="24" customHeight="1">
      <c r="A17" s="120">
        <v>9</v>
      </c>
      <c r="B17" s="23" t="s">
        <v>61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62</v>
      </c>
      <c r="C18" s="41">
        <v>3926.2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2249.6</v>
      </c>
      <c r="H18" s="18">
        <v>1809.3</v>
      </c>
      <c r="I18" s="18">
        <f t="shared" si="1"/>
        <v>80.42763157894737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440.29999999999995</v>
      </c>
      <c r="U18" s="16">
        <f t="shared" si="2"/>
        <v>4366.499999999999</v>
      </c>
    </row>
    <row r="19" spans="1:21" ht="24" customHeight="1">
      <c r="A19" s="120">
        <v>11</v>
      </c>
      <c r="B19" s="25" t="s">
        <v>63</v>
      </c>
      <c r="C19" s="41">
        <v>2.9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6.8</v>
      </c>
      <c r="H19" s="18">
        <v>5.1</v>
      </c>
      <c r="I19" s="18">
        <f t="shared" si="1"/>
        <v>75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1.7000000000000002</v>
      </c>
      <c r="U19" s="16">
        <f t="shared" si="2"/>
        <v>4.6</v>
      </c>
    </row>
    <row r="20" spans="1:21" ht="24" customHeight="1">
      <c r="A20" s="120">
        <v>12</v>
      </c>
      <c r="B20" s="23" t="s">
        <v>90</v>
      </c>
      <c r="C20" s="41">
        <v>1747.8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2224.9</v>
      </c>
      <c r="H20" s="18">
        <v>1958.7</v>
      </c>
      <c r="I20" s="18">
        <f t="shared" si="1"/>
        <v>88.03541732212685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266.20000000000005</v>
      </c>
      <c r="U20" s="16">
        <f t="shared" si="2"/>
        <v>2013.9999999999998</v>
      </c>
    </row>
    <row r="21" spans="1:21" ht="24" customHeight="1">
      <c r="A21" s="120">
        <v>13</v>
      </c>
      <c r="B21" s="25" t="s">
        <v>64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65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66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67</v>
      </c>
      <c r="C24" s="41"/>
      <c r="D24" s="207" t="s">
        <v>102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9"/>
    </row>
    <row r="25" spans="1:21" ht="36.75" customHeight="1">
      <c r="A25" s="120">
        <v>17</v>
      </c>
      <c r="B25" s="25" t="s">
        <v>68</v>
      </c>
      <c r="C25" s="41">
        <v>3737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7853.6</v>
      </c>
      <c r="H25" s="18">
        <v>7752.8</v>
      </c>
      <c r="I25" s="18">
        <f t="shared" si="1"/>
        <v>98.71651217276154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100.80000000000018</v>
      </c>
      <c r="U25" s="16">
        <f>C25+G25-H25</f>
        <v>3837.8</v>
      </c>
    </row>
    <row r="26" spans="1:21" ht="24" customHeight="1">
      <c r="A26" s="120">
        <v>18</v>
      </c>
      <c r="B26" s="23" t="s">
        <v>69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70</v>
      </c>
      <c r="C27" s="41">
        <v>1342.5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706.3</v>
      </c>
      <c r="H27" s="18">
        <v>566.2</v>
      </c>
      <c r="I27" s="18">
        <f t="shared" si="1"/>
        <v>80.16423616027186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140.0999999999999</v>
      </c>
      <c r="U27" s="16">
        <f>C27+G27-H27</f>
        <v>1482.6000000000001</v>
      </c>
    </row>
    <row r="28" spans="1:21" ht="36.75" customHeight="1">
      <c r="A28" s="120">
        <v>20</v>
      </c>
      <c r="B28" s="25" t="s">
        <v>105</v>
      </c>
      <c r="C28" s="41">
        <v>539.1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1756.3</v>
      </c>
      <c r="H28" s="18">
        <v>2119.5</v>
      </c>
      <c r="I28" s="18">
        <f t="shared" si="1"/>
        <v>120.67983829641862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-363.20000000000005</v>
      </c>
      <c r="U28" s="16">
        <f>C28+G28-H28</f>
        <v>175.9000000000001</v>
      </c>
    </row>
    <row r="29" spans="1:21" ht="36.75" customHeight="1">
      <c r="A29" s="120">
        <v>21</v>
      </c>
      <c r="B29" s="23" t="s">
        <v>71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72</v>
      </c>
      <c r="C30" s="71"/>
      <c r="D30" s="210" t="s">
        <v>102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</row>
    <row r="31" spans="1:21" ht="24" customHeight="1">
      <c r="A31" s="120">
        <v>23</v>
      </c>
      <c r="B31" s="25" t="s">
        <v>73</v>
      </c>
      <c r="C31" s="7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3"/>
    </row>
    <row r="32" spans="1:21" ht="24" customHeight="1">
      <c r="A32" s="120">
        <v>24</v>
      </c>
      <c r="B32" s="25" t="s">
        <v>74</v>
      </c>
      <c r="C32" s="73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5"/>
    </row>
    <row r="33" spans="1:21" ht="24" customHeight="1">
      <c r="A33" s="120">
        <v>25</v>
      </c>
      <c r="B33" s="25" t="s">
        <v>75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76</v>
      </c>
      <c r="C34" s="41">
        <v>17993.6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12467.5</v>
      </c>
      <c r="H34" s="18">
        <v>11355.8</v>
      </c>
      <c r="I34" s="18">
        <f>H34/G34*100</f>
        <v>91.0832163625426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1111.7000000000007</v>
      </c>
      <c r="U34" s="16">
        <f aca="true" t="shared" si="10" ref="U34:U47">C34+G34-H34</f>
        <v>19105.3</v>
      </c>
    </row>
    <row r="35" spans="1:21" ht="24.75" customHeight="1">
      <c r="A35" s="121"/>
      <c r="B35" s="25" t="s">
        <v>77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106</v>
      </c>
      <c r="C36" s="41">
        <v>3243.6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6322.7</v>
      </c>
      <c r="H36" s="18">
        <v>4833.3</v>
      </c>
      <c r="I36" s="18">
        <f aca="true" t="shared" si="12" ref="I36:I48">H36/G36*100</f>
        <v>76.44360795229886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1489.3999999999996</v>
      </c>
      <c r="U36" s="16">
        <f t="shared" si="10"/>
        <v>4732.999999999999</v>
      </c>
    </row>
    <row r="37" spans="1:21" ht="24" customHeight="1">
      <c r="A37" s="120">
        <v>27</v>
      </c>
      <c r="B37" s="23" t="s">
        <v>78</v>
      </c>
      <c r="C37" s="41">
        <v>53.1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2.8</v>
      </c>
      <c r="H37" s="18">
        <v>1.2</v>
      </c>
      <c r="I37" s="18">
        <f t="shared" si="12"/>
        <v>42.85714285714286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1.5999999999999999</v>
      </c>
      <c r="U37" s="16">
        <f t="shared" si="10"/>
        <v>54.699999999999996</v>
      </c>
    </row>
    <row r="38" spans="1:21" ht="24" customHeight="1">
      <c r="A38" s="120">
        <v>28</v>
      </c>
      <c r="B38" s="25" t="s">
        <v>79</v>
      </c>
      <c r="C38" s="41">
        <f>9351.5-3.1</f>
        <v>9348.4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11792</v>
      </c>
      <c r="H38" s="18">
        <v>11668.3</v>
      </c>
      <c r="I38" s="18">
        <f t="shared" si="12"/>
        <v>98.95098371777476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123.70000000000073</v>
      </c>
      <c r="U38" s="16">
        <f t="shared" si="10"/>
        <v>9472.100000000002</v>
      </c>
    </row>
    <row r="39" spans="1:21" ht="24" customHeight="1">
      <c r="A39" s="120">
        <v>29</v>
      </c>
      <c r="B39" s="25" t="s">
        <v>80</v>
      </c>
      <c r="C39" s="41">
        <v>19574.1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7244.8</v>
      </c>
      <c r="H39" s="18">
        <v>10903.6</v>
      </c>
      <c r="I39" s="18">
        <f t="shared" si="12"/>
        <v>150.5024293286219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-3658.8</v>
      </c>
      <c r="U39" s="16">
        <f t="shared" si="10"/>
        <v>15915.299999999997</v>
      </c>
    </row>
    <row r="40" spans="1:21" ht="36.75" customHeight="1">
      <c r="A40" s="120">
        <v>30</v>
      </c>
      <c r="B40" s="25" t="s">
        <v>107</v>
      </c>
      <c r="C40" s="41">
        <f>18371.6+27785.3</f>
        <v>46156.899999999994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32140.1</v>
      </c>
      <c r="H40" s="18">
        <v>35077.3</v>
      </c>
      <c r="I40" s="18">
        <f t="shared" si="12"/>
        <v>109.13873945631782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-2937.2000000000044</v>
      </c>
      <c r="U40" s="16">
        <f t="shared" si="10"/>
        <v>43219.7</v>
      </c>
    </row>
    <row r="41" spans="1:21" ht="24" customHeight="1">
      <c r="A41" s="120">
        <v>31</v>
      </c>
      <c r="B41" s="25" t="s">
        <v>81</v>
      </c>
      <c r="C41" s="41">
        <v>263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63.5</v>
      </c>
      <c r="H41" s="18">
        <v>56.6</v>
      </c>
      <c r="I41" s="18">
        <f t="shared" si="12"/>
        <v>89.13385826771653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6.899999999999999</v>
      </c>
      <c r="U41" s="16">
        <f t="shared" si="10"/>
        <v>269.9</v>
      </c>
    </row>
    <row r="42" spans="1:21" ht="37.5">
      <c r="A42" s="120">
        <v>32</v>
      </c>
      <c r="B42" s="23" t="s">
        <v>82</v>
      </c>
      <c r="C42" s="41">
        <v>11693.9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18758.6</v>
      </c>
      <c r="H42" s="18">
        <v>17613</v>
      </c>
      <c r="I42" s="18">
        <f t="shared" si="12"/>
        <v>93.89293444073652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1145.5999999999985</v>
      </c>
      <c r="U42" s="16">
        <f t="shared" si="10"/>
        <v>12839.5</v>
      </c>
    </row>
    <row r="43" spans="1:21" ht="24" customHeight="1">
      <c r="A43" s="120">
        <v>33</v>
      </c>
      <c r="B43" s="25" t="s">
        <v>83</v>
      </c>
      <c r="C43" s="41">
        <v>5788.4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15756.2</v>
      </c>
      <c r="H43" s="18">
        <v>15446.5</v>
      </c>
      <c r="I43" s="18">
        <f t="shared" si="12"/>
        <v>98.03442454398903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309.7000000000007</v>
      </c>
      <c r="U43" s="16">
        <f t="shared" si="10"/>
        <v>6098.0999999999985</v>
      </c>
    </row>
    <row r="44" spans="1:23" s="7" customFormat="1" ht="24.75" customHeight="1">
      <c r="A44" s="122">
        <v>34</v>
      </c>
      <c r="B44" s="6" t="s">
        <v>84</v>
      </c>
      <c r="C44" s="42">
        <f>C45+C46</f>
        <v>837950.5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1451618.5</v>
      </c>
      <c r="H44" s="16">
        <f>H45+H46</f>
        <v>1334699.1</v>
      </c>
      <c r="I44" s="17">
        <f t="shared" si="12"/>
        <v>91.94558349869475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116919.4</v>
      </c>
      <c r="U44" s="105">
        <f>SUM(U45:U47)</f>
        <v>954869.9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85</v>
      </c>
      <c r="C45" s="41">
        <v>828679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1421209</v>
      </c>
      <c r="H45" s="18">
        <f>1262147+43405</f>
        <v>1305552</v>
      </c>
      <c r="I45" s="18">
        <f t="shared" si="12"/>
        <v>91.86206954782864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115657</v>
      </c>
      <c r="U45" s="24">
        <f t="shared" si="10"/>
        <v>944336</v>
      </c>
    </row>
    <row r="46" spans="1:21" s="7" customFormat="1" ht="24.75" customHeight="1">
      <c r="A46" s="122"/>
      <c r="B46" s="23" t="s">
        <v>86</v>
      </c>
      <c r="C46" s="41">
        <v>9271.5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f>24767.3+5642.2</f>
        <v>30409.5</v>
      </c>
      <c r="H46" s="18">
        <v>29147.1</v>
      </c>
      <c r="I46" s="18">
        <f t="shared" si="12"/>
        <v>95.84866571301731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1262.4000000000015</v>
      </c>
      <c r="U46" s="24">
        <f t="shared" si="10"/>
        <v>10533.900000000001</v>
      </c>
    </row>
    <row r="47" spans="1:21" s="7" customFormat="1" ht="24.75" customHeight="1">
      <c r="A47" s="122"/>
      <c r="B47" s="23" t="s">
        <v>77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87</v>
      </c>
      <c r="C48" s="42">
        <f>C8+C44</f>
        <v>974541.3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1589215.4</v>
      </c>
      <c r="H48" s="16">
        <f>H8+H44</f>
        <v>1473300.7000000002</v>
      </c>
      <c r="I48" s="17">
        <f t="shared" si="12"/>
        <v>92.70616808772432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123670.7</v>
      </c>
      <c r="U48" s="59">
        <f>U8+U44</f>
        <v>1090456</v>
      </c>
      <c r="V48" s="111">
        <f>V8+V44</f>
        <v>-8044.300000000005</v>
      </c>
      <c r="W48" s="111">
        <f>W8+W44</f>
        <v>0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92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93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177" t="s">
        <v>116</v>
      </c>
      <c r="B53" s="177"/>
      <c r="C53" s="177"/>
      <c r="D53" s="177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111</v>
      </c>
      <c r="V53" s="9"/>
      <c r="W53" s="9"/>
      <c r="X53" s="9"/>
      <c r="Y53" s="9"/>
      <c r="Z53" s="9"/>
      <c r="AA53" s="64"/>
      <c r="AB53" s="76" t="s">
        <v>111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50" customFormat="1" ht="80.25" customHeight="1">
      <c r="A55" s="142"/>
      <c r="B55" s="216" t="s">
        <v>119</v>
      </c>
      <c r="C55" s="216"/>
      <c r="D55" s="216"/>
      <c r="E55" s="216"/>
      <c r="F55" s="216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43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44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45</v>
      </c>
      <c r="C61" s="44">
        <f>C10+C18+C21+C27+C37+C39+C41</f>
        <v>25212.1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22150.899999999998</v>
      </c>
    </row>
    <row r="62" spans="2:21" ht="18.75">
      <c r="B62" s="1" t="s">
        <v>46</v>
      </c>
      <c r="C62" s="44">
        <f>C12+C14+C15+C17+C19+C20+C26</f>
        <v>1852.1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2115.8999999999996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7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D24:U24"/>
    <mergeCell ref="D30:U32"/>
    <mergeCell ref="S5:S7"/>
    <mergeCell ref="U5:U7"/>
    <mergeCell ref="J5:L5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1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3" sqref="I13"/>
    </sheetView>
  </sheetViews>
  <sheetFormatPr defaultColWidth="7.875" defaultRowHeight="12.75"/>
  <cols>
    <col min="1" max="1" width="6.125" style="1" customWidth="1"/>
    <col min="2" max="2" width="46.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4" ht="18.75">
      <c r="B2" s="217" t="s">
        <v>103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X2" s="218"/>
    </row>
    <row r="3" spans="2:24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X3" s="218"/>
    </row>
    <row r="4" spans="2:24" ht="18.75">
      <c r="B4" s="201"/>
      <c r="C4" s="201"/>
      <c r="D4" s="201"/>
      <c r="E4" s="201"/>
      <c r="F4" s="201"/>
      <c r="U4" s="74" t="s">
        <v>54</v>
      </c>
      <c r="X4" s="218"/>
    </row>
    <row r="5" spans="1:25" ht="36.75" customHeight="1">
      <c r="A5" s="3"/>
      <c r="B5" s="3"/>
      <c r="C5" s="202" t="s">
        <v>1</v>
      </c>
      <c r="D5" s="222" t="s">
        <v>110</v>
      </c>
      <c r="E5" s="223"/>
      <c r="F5" s="224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  <c r="V5" s="220"/>
      <c r="W5" s="220"/>
      <c r="X5" s="219"/>
      <c r="Y5" s="218"/>
    </row>
    <row r="6" spans="1:25" ht="18.75">
      <c r="A6" s="5" t="s">
        <v>39</v>
      </c>
      <c r="B6" s="4" t="s">
        <v>2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  <c r="V6" s="220"/>
      <c r="W6" s="220"/>
      <c r="X6" s="219"/>
      <c r="Y6" s="218"/>
    </row>
    <row r="7" spans="1:25" ht="39.75" customHeight="1">
      <c r="A7" s="22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  <c r="V7" s="220"/>
      <c r="W7" s="220"/>
      <c r="X7" s="219"/>
      <c r="Y7" s="218"/>
    </row>
    <row r="8" spans="1:34" s="7" customFormat="1" ht="36" customHeight="1">
      <c r="A8" s="13"/>
      <c r="B8" s="8" t="s">
        <v>7</v>
      </c>
      <c r="C8" s="40">
        <f>SUM(C9:C43)</f>
        <v>4333.1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18105.6</v>
      </c>
      <c r="H8" s="17">
        <f>SUM(H9:H43)</f>
        <v>17187.9</v>
      </c>
      <c r="I8" s="17">
        <f aca="true" t="shared" si="1" ref="I8:I45">H8/G8*100</f>
        <v>94.93140243902441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1157.5</v>
      </c>
      <c r="U8" s="59">
        <f>SUMIF(U9:U43,"&gt;0",U9:U43)</f>
        <v>5250.799999999999</v>
      </c>
      <c r="V8" s="140">
        <f>SUMIF(T9:T43,"&lt;0",T9:T43)</f>
        <v>-239.79999999999995</v>
      </c>
      <c r="W8" s="105">
        <f>SUMIF(U9:U43,"&lt;0",U9:U43)</f>
        <v>0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534.1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1931.6</v>
      </c>
      <c r="H9" s="18">
        <v>1762.7</v>
      </c>
      <c r="I9" s="18">
        <f t="shared" si="1"/>
        <v>91.2559536135846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168.89999999999986</v>
      </c>
      <c r="U9" s="16">
        <f aca="true" t="shared" si="2" ref="U9:U43">C9+G9-H9</f>
        <v>702.9999999999998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11.1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40.9</v>
      </c>
      <c r="H10" s="18">
        <v>44.3</v>
      </c>
      <c r="I10" s="18">
        <f t="shared" si="1"/>
        <v>108.31295843520783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-3.3999999999999986</v>
      </c>
      <c r="U10" s="16">
        <f t="shared" si="2"/>
        <v>7.700000000000003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74.2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226.5</v>
      </c>
      <c r="H13" s="18">
        <v>233.9</v>
      </c>
      <c r="I13" s="18">
        <f t="shared" si="1"/>
        <v>103.26710816777043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-7.400000000000006</v>
      </c>
      <c r="U13" s="16">
        <f t="shared" si="2"/>
        <v>66.79999999999998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2.4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9.2</v>
      </c>
      <c r="H14" s="18">
        <v>10.3</v>
      </c>
      <c r="I14" s="18">
        <f t="shared" si="1"/>
        <v>111.95652173913044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-1.1000000000000014</v>
      </c>
      <c r="U14" s="16">
        <f t="shared" si="2"/>
        <v>1.299999999999999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100.5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251.7</v>
      </c>
      <c r="H16" s="18">
        <v>260</v>
      </c>
      <c r="I16" s="18">
        <f t="shared" si="1"/>
        <v>103.29757647993642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-8.300000000000011</v>
      </c>
      <c r="U16" s="16">
        <f t="shared" si="2"/>
        <v>92.19999999999999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68.6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207.6</v>
      </c>
      <c r="H18" s="18">
        <v>177.3</v>
      </c>
      <c r="I18" s="18">
        <f t="shared" si="1"/>
        <v>85.40462427745665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30.299999999999983</v>
      </c>
      <c r="U18" s="16">
        <f t="shared" si="2"/>
        <v>98.89999999999998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2.7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8.4</v>
      </c>
      <c r="H19" s="18">
        <v>8.5</v>
      </c>
      <c r="I19" s="18">
        <f t="shared" si="1"/>
        <v>101.19047619047619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-0.09999999999999964</v>
      </c>
      <c r="U19" s="16">
        <f t="shared" si="2"/>
        <v>2.6000000000000014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60.1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317.9</v>
      </c>
      <c r="H20" s="18">
        <v>304.9</v>
      </c>
      <c r="I20" s="18">
        <f t="shared" si="1"/>
        <v>95.91066373073294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13</v>
      </c>
      <c r="U20" s="16">
        <f t="shared" si="2"/>
        <v>73.10000000000002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145.1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787.4</v>
      </c>
      <c r="H25" s="18">
        <v>752.3</v>
      </c>
      <c r="I25" s="18">
        <f t="shared" si="1"/>
        <v>95.54229108458216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35.10000000000002</v>
      </c>
      <c r="U25" s="16">
        <f t="shared" si="2"/>
        <v>180.20000000000005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39.3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209.5</v>
      </c>
      <c r="H27" s="18">
        <v>198.8</v>
      </c>
      <c r="I27" s="18">
        <f t="shared" si="1"/>
        <v>94.89260143198092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10.699999999999989</v>
      </c>
      <c r="U27" s="16">
        <f t="shared" si="2"/>
        <v>50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105</v>
      </c>
      <c r="C28" s="41">
        <v>81.3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491.2</v>
      </c>
      <c r="H28" s="18">
        <v>483.7</v>
      </c>
      <c r="I28" s="18">
        <f t="shared" si="1"/>
        <v>98.47312703583061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7.5</v>
      </c>
      <c r="U28" s="16">
        <f t="shared" si="2"/>
        <v>88.80000000000001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42</v>
      </c>
      <c r="C34" s="41">
        <v>646.1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1320.6</v>
      </c>
      <c r="H34" s="18">
        <v>1482.3</v>
      </c>
      <c r="I34" s="18">
        <f t="shared" si="1"/>
        <v>112.24443434802363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-161.70000000000005</v>
      </c>
      <c r="U34" s="16">
        <f t="shared" si="2"/>
        <v>484.39999999999986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47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106</v>
      </c>
      <c r="C36" s="41">
        <v>169.9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794.5</v>
      </c>
      <c r="H36" s="18">
        <v>719.5</v>
      </c>
      <c r="I36" s="18">
        <f t="shared" si="1"/>
        <v>90.56010069225928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75</v>
      </c>
      <c r="U36" s="16">
        <f t="shared" si="2"/>
        <v>244.89999999999998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1.9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2.9</v>
      </c>
      <c r="H37" s="18">
        <v>4</v>
      </c>
      <c r="I37" s="18">
        <f t="shared" si="1"/>
        <v>137.93103448275863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-1.1</v>
      </c>
      <c r="U37" s="16">
        <f t="shared" si="2"/>
        <v>0.7999999999999998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303.1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1736.5</v>
      </c>
      <c r="H38" s="18">
        <v>1639.9</v>
      </c>
      <c r="I38" s="18">
        <f t="shared" si="1"/>
        <v>94.43708609271523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96.59999999999991</v>
      </c>
      <c r="U38" s="16">
        <f t="shared" si="2"/>
        <v>399.6999999999998</v>
      </c>
      <c r="V38" s="98">
        <f>U38+субсидии!U38</f>
        <v>4374.700000000001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530.4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1981.9</v>
      </c>
      <c r="H39" s="18">
        <v>2037.5</v>
      </c>
      <c r="I39" s="18">
        <f t="shared" si="1"/>
        <v>102.8053887683536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-55.59999999999991</v>
      </c>
      <c r="U39" s="16">
        <f t="shared" si="2"/>
        <v>474.8000000000002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107</v>
      </c>
      <c r="C40" s="41">
        <v>680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3445.5</v>
      </c>
      <c r="H40" s="18">
        <v>3340.7</v>
      </c>
      <c r="I40" s="18">
        <f t="shared" si="1"/>
        <v>96.95835147293572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104.80000000000018</v>
      </c>
      <c r="U40" s="16">
        <f t="shared" si="2"/>
        <v>784.8000000000002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1.2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0.5</v>
      </c>
      <c r="H41" s="18">
        <v>1.6</v>
      </c>
      <c r="I41" s="18">
        <f t="shared" si="1"/>
        <v>320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-1.1</v>
      </c>
      <c r="U41" s="16">
        <f t="shared" si="2"/>
        <v>0.09999999999999987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312.3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1712.4</v>
      </c>
      <c r="H42" s="18">
        <v>1603.4</v>
      </c>
      <c r="I42" s="18">
        <f t="shared" si="1"/>
        <v>93.63466479794441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109</v>
      </c>
      <c r="U42" s="16">
        <f t="shared" si="2"/>
        <v>421.29999999999995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568.8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2628.9</v>
      </c>
      <c r="H43" s="18">
        <v>2122.3</v>
      </c>
      <c r="I43" s="18">
        <f t="shared" si="1"/>
        <v>80.72958271520409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506.5999999999999</v>
      </c>
      <c r="U43" s="16">
        <f t="shared" si="2"/>
        <v>1075.3999999999996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16757.3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104026.3</v>
      </c>
      <c r="H44" s="16">
        <f>H45+H46</f>
        <v>88251.8</v>
      </c>
      <c r="I44" s="17">
        <f>H44/G44*100</f>
        <v>84.8360462690685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15882</v>
      </c>
      <c r="U44" s="59">
        <f>SUMIF(U45:U47,"&gt;0",U45:U47)</f>
        <v>32531.8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f>25821-9358</f>
        <v>16463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102393</v>
      </c>
      <c r="H45" s="18">
        <f>80831+5680</f>
        <v>86511</v>
      </c>
      <c r="I45" s="18">
        <f t="shared" si="1"/>
        <v>84.48917406463332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15882</v>
      </c>
      <c r="U45" s="24">
        <f>C45+G45-H45</f>
        <v>32345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294.3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f>1291.1+342.2</f>
        <v>1633.3</v>
      </c>
      <c r="H46" s="18">
        <v>1740.8</v>
      </c>
      <c r="I46" s="18">
        <f>H46/G46*100</f>
        <v>106.58176697483621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-107.5</v>
      </c>
      <c r="U46" s="24">
        <f>C46+G46-H46</f>
        <v>186.79999999999995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47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21090.4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122131.9</v>
      </c>
      <c r="H48" s="16">
        <f>H8+H44</f>
        <v>105439.70000000001</v>
      </c>
      <c r="I48" s="17">
        <f>H48/G48*100</f>
        <v>86.33264527940695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17039.5</v>
      </c>
      <c r="U48" s="59">
        <f>U8+U44</f>
        <v>37782.6</v>
      </c>
      <c r="V48" s="141">
        <f>V44+V8</f>
        <v>-36585</v>
      </c>
      <c r="W48" s="108">
        <f>W44+W8</f>
        <v>0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116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  <c r="AC54" s="1"/>
      <c r="AD54" s="1"/>
      <c r="AE54" s="1"/>
      <c r="AF54" s="1"/>
      <c r="AG54" s="1"/>
      <c r="AH54" s="1"/>
    </row>
    <row r="55" spans="1:23" s="131" customFormat="1" ht="42" customHeight="1">
      <c r="A55" s="138"/>
      <c r="B55" s="221" t="s">
        <v>119</v>
      </c>
      <c r="C55" s="221"/>
      <c r="D55" s="221"/>
      <c r="E55" s="221"/>
      <c r="F55" s="22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118</v>
      </c>
      <c r="V55" s="137"/>
      <c r="W55" s="133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43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44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652.5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632.3000000000002</v>
      </c>
    </row>
    <row r="63" spans="2:21" ht="18.75">
      <c r="B63" s="1" t="s">
        <v>46</v>
      </c>
      <c r="C63" s="43">
        <f>C12+C14+C15+C17+C19+C20+C26</f>
        <v>65.2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77.00000000000003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1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3" sqref="I13"/>
    </sheetView>
  </sheetViews>
  <sheetFormatPr defaultColWidth="7.875" defaultRowHeight="12.75"/>
  <cols>
    <col min="1" max="1" width="6.125" style="1" customWidth="1"/>
    <col min="2" max="2" width="46.1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17" t="s">
        <v>104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201"/>
      <c r="E4" s="201"/>
      <c r="F4" s="201"/>
      <c r="U4" s="74" t="s">
        <v>54</v>
      </c>
    </row>
    <row r="5" spans="1:21" ht="42.75" customHeight="1">
      <c r="A5" s="3"/>
      <c r="B5" s="3"/>
      <c r="C5" s="202" t="s">
        <v>1</v>
      </c>
      <c r="D5" s="204" t="s">
        <v>110</v>
      </c>
      <c r="E5" s="205"/>
      <c r="F5" s="206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</row>
    <row r="6" spans="1:21" ht="18.75">
      <c r="A6" s="5" t="s">
        <v>39</v>
      </c>
      <c r="B6" s="4" t="s">
        <v>2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32.25" customHeight="1">
      <c r="A7" s="22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3"/>
      <c r="B8" s="8" t="s">
        <v>7</v>
      </c>
      <c r="C8" s="40">
        <f>SUM(C9:C43)</f>
        <v>7163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84720</v>
      </c>
      <c r="H8" s="17">
        <f>SUM(H9:H43)</f>
        <v>60447.6</v>
      </c>
      <c r="I8" s="17">
        <f aca="true" t="shared" si="1" ref="I8:I48">H8/G8*100</f>
        <v>71.34985835694052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24272.9</v>
      </c>
      <c r="U8" s="59">
        <f>SUMIF(U9:U43,"&gt;0",U9:U43)</f>
        <v>31435.399999999998</v>
      </c>
      <c r="V8" s="105">
        <f>SUMIF(T9:T43,"&lt;0",T9:T43)</f>
        <v>-0.5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798.5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6340.4</v>
      </c>
      <c r="H9" s="18">
        <v>4964.8</v>
      </c>
      <c r="I9" s="18">
        <f t="shared" si="1"/>
        <v>78.3042079364078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1375.5999999999995</v>
      </c>
      <c r="U9" s="91">
        <f aca="true" t="shared" si="4" ref="U9:U43">C9+G9-H9</f>
        <v>2174.0999999999995</v>
      </c>
    </row>
    <row r="10" spans="1:21" s="52" customFormat="1" ht="41.25" customHeight="1">
      <c r="A10" s="2">
        <v>2</v>
      </c>
      <c r="B10" s="53" t="s">
        <v>38</v>
      </c>
      <c r="C10" s="41">
        <v>17.3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94.3</v>
      </c>
      <c r="H10" s="18">
        <v>89.4</v>
      </c>
      <c r="I10" s="18">
        <f t="shared" si="1"/>
        <v>94.80381760339344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4.8999999999999915</v>
      </c>
      <c r="U10" s="91">
        <f t="shared" si="4"/>
        <v>22.19999999999999</v>
      </c>
    </row>
    <row r="11" spans="1:21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552.5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2251.6</v>
      </c>
      <c r="H13" s="18">
        <v>908.7</v>
      </c>
      <c r="I13" s="18">
        <f t="shared" si="1"/>
        <v>40.3579676674365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1342.8999999999999</v>
      </c>
      <c r="U13" s="91">
        <f t="shared" si="4"/>
        <v>1895.3999999999999</v>
      </c>
    </row>
    <row r="14" spans="1:21" ht="24" customHeight="1">
      <c r="A14" s="2">
        <v>6</v>
      </c>
      <c r="B14" s="23" t="s">
        <v>16</v>
      </c>
      <c r="C14" s="41">
        <v>6.9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59.4</v>
      </c>
      <c r="H14" s="18">
        <v>47.4</v>
      </c>
      <c r="I14" s="18">
        <f t="shared" si="1"/>
        <v>79.7979797979798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12</v>
      </c>
      <c r="U14" s="91">
        <f t="shared" si="4"/>
        <v>18.9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78.5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1157.4</v>
      </c>
      <c r="H16" s="18">
        <v>840.9</v>
      </c>
      <c r="I16" s="126">
        <f t="shared" si="1"/>
        <v>72.65422498703991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316.5000000000001</v>
      </c>
      <c r="U16" s="91">
        <f t="shared" si="4"/>
        <v>395.0000000000001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34.6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353.2</v>
      </c>
      <c r="H18" s="18">
        <v>259.1</v>
      </c>
      <c r="I18" s="18">
        <f t="shared" si="1"/>
        <v>73.35787089467725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94.09999999999997</v>
      </c>
      <c r="U18" s="91">
        <f t="shared" si="4"/>
        <v>128.7</v>
      </c>
    </row>
    <row r="19" spans="1:21" ht="24" customHeight="1">
      <c r="A19" s="2">
        <v>11</v>
      </c>
      <c r="B19" s="25" t="s">
        <v>21</v>
      </c>
      <c r="C19" s="41">
        <v>8.2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47.8</v>
      </c>
      <c r="H19" s="18">
        <v>38.2</v>
      </c>
      <c r="I19" s="126">
        <f t="shared" si="1"/>
        <v>79.91631799163181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9.599999999999994</v>
      </c>
      <c r="U19" s="91">
        <f t="shared" si="4"/>
        <v>17.799999999999997</v>
      </c>
    </row>
    <row r="20" spans="1:21" ht="24" customHeight="1">
      <c r="A20" s="2">
        <v>12</v>
      </c>
      <c r="B20" s="23" t="s">
        <v>22</v>
      </c>
      <c r="C20" s="41">
        <v>123.6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899.5</v>
      </c>
      <c r="H20" s="18">
        <v>752.7</v>
      </c>
      <c r="I20" s="18">
        <f t="shared" si="1"/>
        <v>83.67982212340189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146.79999999999995</v>
      </c>
      <c r="U20" s="91">
        <f t="shared" si="4"/>
        <v>270.4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560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4131</v>
      </c>
      <c r="H25" s="18">
        <v>3294.5</v>
      </c>
      <c r="I25" s="18">
        <f t="shared" si="1"/>
        <v>79.75066569837811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836.5</v>
      </c>
      <c r="U25" s="91">
        <f t="shared" si="4"/>
        <v>1396.5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23.6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292.8</v>
      </c>
      <c r="H27" s="18">
        <v>202.3</v>
      </c>
      <c r="I27" s="18">
        <f t="shared" si="1"/>
        <v>69.0915300546448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90.5</v>
      </c>
      <c r="U27" s="91">
        <f t="shared" si="4"/>
        <v>114.10000000000002</v>
      </c>
    </row>
    <row r="28" spans="1:21" ht="36.75" customHeight="1">
      <c r="A28" s="2">
        <v>20</v>
      </c>
      <c r="B28" s="25" t="s">
        <v>105</v>
      </c>
      <c r="C28" s="41">
        <v>333.7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3564.2</v>
      </c>
      <c r="H28" s="18">
        <v>2904</v>
      </c>
      <c r="I28" s="18">
        <f t="shared" si="1"/>
        <v>81.47690926435105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660.1999999999998</v>
      </c>
      <c r="U28" s="91">
        <f t="shared" si="4"/>
        <v>993.8999999999996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42</v>
      </c>
      <c r="C34" s="41">
        <v>319.1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3044.4</v>
      </c>
      <c r="H34" s="18">
        <v>2452.8</v>
      </c>
      <c r="I34" s="18">
        <f t="shared" si="1"/>
        <v>80.5675995270004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591.5999999999999</v>
      </c>
      <c r="U34" s="91">
        <f t="shared" si="4"/>
        <v>910.6999999999998</v>
      </c>
      <c r="V34" s="19">
        <f>U34+льготи!U34</f>
        <v>1395.0999999999997</v>
      </c>
    </row>
    <row r="35" spans="1:21" ht="24.75" customHeight="1">
      <c r="A35" s="36"/>
      <c r="B35" s="25" t="s">
        <v>47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106</v>
      </c>
      <c r="C36" s="41">
        <v>51.9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2359.2</v>
      </c>
      <c r="H36" s="18">
        <v>1517.4</v>
      </c>
      <c r="I36" s="18">
        <f t="shared" si="1"/>
        <v>64.31841302136318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841.7999999999997</v>
      </c>
      <c r="U36" s="91">
        <f t="shared" si="4"/>
        <v>893.6999999999998</v>
      </c>
    </row>
    <row r="37" spans="1:21" s="38" customFormat="1" ht="24" customHeight="1">
      <c r="A37" s="2">
        <v>27</v>
      </c>
      <c r="B37" s="23" t="s">
        <v>30</v>
      </c>
      <c r="C37" s="41">
        <v>0.5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0.7</v>
      </c>
      <c r="H37" s="18">
        <v>1.2</v>
      </c>
      <c r="I37" s="18">
        <f t="shared" si="1"/>
        <v>171.42857142857144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-0.5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821.6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10564.2</v>
      </c>
      <c r="H38" s="18">
        <v>7410.8</v>
      </c>
      <c r="I38" s="18">
        <f t="shared" si="1"/>
        <v>70.15012968326991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3153.4000000000005</v>
      </c>
      <c r="U38" s="91">
        <f t="shared" si="4"/>
        <v>3975.000000000001</v>
      </c>
    </row>
    <row r="39" spans="1:21" s="38" customFormat="1" ht="24" customHeight="1">
      <c r="A39" s="2">
        <v>29</v>
      </c>
      <c r="B39" s="25" t="s">
        <v>32</v>
      </c>
      <c r="C39" s="41">
        <v>993.7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10535.1</v>
      </c>
      <c r="H39" s="18">
        <v>8067.8</v>
      </c>
      <c r="I39" s="18">
        <f t="shared" si="1"/>
        <v>76.58019382825032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2467.3</v>
      </c>
      <c r="U39" s="91">
        <f t="shared" si="4"/>
        <v>3461.000000000001</v>
      </c>
    </row>
    <row r="40" spans="1:21" ht="36.75" customHeight="1">
      <c r="A40" s="2">
        <v>30</v>
      </c>
      <c r="B40" s="25" t="s">
        <v>107</v>
      </c>
      <c r="C40" s="41">
        <v>1858.3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26354.7</v>
      </c>
      <c r="H40" s="18">
        <v>17982.3</v>
      </c>
      <c r="I40" s="18">
        <f t="shared" si="1"/>
        <v>68.2318523830664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8372.400000000001</v>
      </c>
      <c r="U40" s="91">
        <f t="shared" si="4"/>
        <v>10230.7</v>
      </c>
    </row>
    <row r="41" spans="1:21" s="38" customFormat="1" ht="24" customHeight="1">
      <c r="A41" s="2">
        <v>31</v>
      </c>
      <c r="B41" s="25" t="s">
        <v>33</v>
      </c>
      <c r="C41" s="41">
        <v>1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5.4</v>
      </c>
      <c r="H41" s="18">
        <v>4.2</v>
      </c>
      <c r="I41" s="18">
        <f t="shared" si="1"/>
        <v>77.77777777777779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1.2000000000000002</v>
      </c>
      <c r="U41" s="91">
        <f t="shared" si="4"/>
        <v>2.2</v>
      </c>
    </row>
    <row r="42" spans="1:21" ht="37.5">
      <c r="A42" s="2">
        <v>32</v>
      </c>
      <c r="B42" s="23" t="s">
        <v>34</v>
      </c>
      <c r="C42" s="41">
        <v>203.9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7679.3</v>
      </c>
      <c r="H42" s="18">
        <v>5184.7</v>
      </c>
      <c r="I42" s="18">
        <f t="shared" si="1"/>
        <v>67.51526831872697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2494.6000000000004</v>
      </c>
      <c r="U42" s="91">
        <f t="shared" si="4"/>
        <v>2698.5</v>
      </c>
    </row>
    <row r="43" spans="1:21" ht="24" customHeight="1">
      <c r="A43" s="2">
        <v>33</v>
      </c>
      <c r="B43" s="25" t="s">
        <v>35</v>
      </c>
      <c r="C43" s="41">
        <v>375.6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4985.4</v>
      </c>
      <c r="H43" s="18">
        <v>3524.4</v>
      </c>
      <c r="I43" s="18">
        <f t="shared" si="1"/>
        <v>70.6944277289686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1460.9999999999995</v>
      </c>
      <c r="U43" s="91">
        <f t="shared" si="4"/>
        <v>1836.6</v>
      </c>
    </row>
    <row r="44" spans="1:23" s="7" customFormat="1" ht="24.75" customHeight="1">
      <c r="A44" s="6">
        <v>34</v>
      </c>
      <c r="B44" s="6" t="s">
        <v>6</v>
      </c>
      <c r="C44" s="42">
        <f>C45+C46</f>
        <v>130.7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173397.7</v>
      </c>
      <c r="H44" s="16">
        <f>H45+H46</f>
        <v>123677.8</v>
      </c>
      <c r="I44" s="17">
        <f t="shared" si="1"/>
        <v>71.3260902537923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49719.9</v>
      </c>
      <c r="U44" s="59">
        <f>SUMIF(U45:U47,"&gt;0",U45:U47)</f>
        <v>49850.6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f>9358-9358</f>
        <v>0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171187</v>
      </c>
      <c r="H45" s="18">
        <f>121753+0</f>
        <v>121753</v>
      </c>
      <c r="I45" s="18">
        <f t="shared" si="1"/>
        <v>71.12280722251106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49434</v>
      </c>
      <c r="U45" s="91">
        <f>C45+G45-H45</f>
        <v>49434</v>
      </c>
    </row>
    <row r="46" spans="1:23" s="7" customFormat="1" ht="24.75" customHeight="1">
      <c r="A46" s="6"/>
      <c r="B46" s="23" t="s">
        <v>37</v>
      </c>
      <c r="C46" s="41">
        <v>130.7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f>1356.9+853.8</f>
        <v>2210.7</v>
      </c>
      <c r="H46" s="18">
        <v>1924.8</v>
      </c>
      <c r="I46" s="18">
        <f t="shared" si="1"/>
        <v>87.0674447007735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285.89999999999986</v>
      </c>
      <c r="U46" s="91">
        <f>C46+G46-H46</f>
        <v>416.5999999999997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47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7293.7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258117.7</v>
      </c>
      <c r="H48" s="16">
        <f>H8+H44</f>
        <v>184125.4</v>
      </c>
      <c r="I48" s="17">
        <f t="shared" si="1"/>
        <v>71.3338914766403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73992.8</v>
      </c>
      <c r="U48" s="105">
        <f>U8+U44</f>
        <v>81286</v>
      </c>
      <c r="V48" s="108">
        <f>V44+V8</f>
        <v>-39.4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25" t="s">
        <v>116</v>
      </c>
      <c r="B54" s="225"/>
      <c r="C54" s="225"/>
      <c r="D54" s="225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</row>
    <row r="55" spans="1:23" s="131" customFormat="1" ht="42.75" customHeight="1">
      <c r="A55" s="138"/>
      <c r="B55" s="221" t="s">
        <v>119</v>
      </c>
      <c r="C55" s="221"/>
      <c r="D55" s="221"/>
      <c r="E55" s="221"/>
      <c r="F55" s="22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118</v>
      </c>
      <c r="V55" s="137"/>
      <c r="W55" s="133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43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44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45</v>
      </c>
      <c r="C63" s="43">
        <f>C10+C18+C21+C27+C37+C39+C41</f>
        <v>1070.7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3728.2000000000007</v>
      </c>
    </row>
    <row r="64" spans="2:21" ht="18.75">
      <c r="B64" s="1" t="s">
        <v>46</v>
      </c>
      <c r="C64" s="43">
        <f>C12+C14+C15+C17+C19+C20+C26</f>
        <v>138.7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307.09999999999997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20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I23" sqref="I23"/>
    </sheetView>
  </sheetViews>
  <sheetFormatPr defaultColWidth="7.875" defaultRowHeight="12.75"/>
  <cols>
    <col min="1" max="1" width="6.125" style="14" customWidth="1"/>
    <col min="2" max="2" width="51.2539062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00" t="s">
        <v>94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35.25" customHeight="1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201"/>
      <c r="E4" s="201"/>
      <c r="F4" s="201"/>
      <c r="U4" s="74" t="s">
        <v>54</v>
      </c>
    </row>
    <row r="5" spans="1:21" ht="36.75" customHeight="1">
      <c r="A5" s="117"/>
      <c r="B5" s="3"/>
      <c r="C5" s="202" t="s">
        <v>1</v>
      </c>
      <c r="D5" s="204" t="s">
        <v>110</v>
      </c>
      <c r="E5" s="205"/>
      <c r="F5" s="206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</row>
    <row r="6" spans="1:21" ht="18.75">
      <c r="A6" s="4" t="s">
        <v>39</v>
      </c>
      <c r="B6" s="4" t="s">
        <v>50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39.7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40">
        <f>SUM(C9:C43)</f>
        <v>779.5000000000002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36060.7</v>
      </c>
      <c r="H8" s="17">
        <f>SUM(H9:H43)</f>
        <v>31964.5</v>
      </c>
      <c r="I8" s="17">
        <f aca="true" t="shared" si="1" ref="I8:I20">H8/G8*100</f>
        <v>88.64081950710886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4578.0999999999985</v>
      </c>
      <c r="U8" s="59">
        <f>SUMIF(U9:U43,"&gt;0",U9:U43)</f>
        <v>5527.8</v>
      </c>
      <c r="V8" s="105">
        <f>SUMIF(T9:T43,"&lt;0",T9:T43)</f>
        <v>-481.9000000000001</v>
      </c>
      <c r="W8" s="105">
        <f>SUMIF(U9:U43,"&lt;0",U9:U43)</f>
        <v>-652.0999999999999</v>
      </c>
    </row>
    <row r="9" spans="1:22" s="27" customFormat="1" ht="36.75" customHeight="1">
      <c r="A9" s="120">
        <v>1</v>
      </c>
      <c r="B9" s="23" t="s">
        <v>56</v>
      </c>
      <c r="C9" s="41">
        <v>147.5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1441.4</v>
      </c>
      <c r="H9" s="18">
        <v>1264.9</v>
      </c>
      <c r="I9" s="18">
        <f t="shared" si="1"/>
        <v>87.75496045511308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176.5</v>
      </c>
      <c r="U9" s="16">
        <f aca="true" t="shared" si="6" ref="U9:U23">C9+G9-H9</f>
        <v>324</v>
      </c>
      <c r="V9" s="116">
        <f>G9-H9</f>
        <v>176.5</v>
      </c>
    </row>
    <row r="10" spans="1:21" s="27" customFormat="1" ht="36.75" customHeight="1">
      <c r="A10" s="120">
        <v>2</v>
      </c>
      <c r="B10" s="53" t="s">
        <v>91</v>
      </c>
      <c r="C10" s="41">
        <v>-139.5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945.8</v>
      </c>
      <c r="H10" s="18">
        <v>925.7</v>
      </c>
      <c r="I10" s="18">
        <f t="shared" si="1"/>
        <v>97.87481497145275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20.09999999999991</v>
      </c>
      <c r="U10" s="16">
        <f t="shared" si="6"/>
        <v>-119.40000000000009</v>
      </c>
    </row>
    <row r="11" spans="1:21" s="27" customFormat="1" ht="36.75" customHeight="1">
      <c r="A11" s="120">
        <v>3</v>
      </c>
      <c r="B11" s="25" t="s">
        <v>108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57</v>
      </c>
      <c r="C12" s="41">
        <v>35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403</v>
      </c>
      <c r="H12" s="18">
        <v>418.7</v>
      </c>
      <c r="I12" s="18">
        <f t="shared" si="1"/>
        <v>103.8957816377171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-15.699999999999989</v>
      </c>
      <c r="U12" s="16">
        <f t="shared" si="6"/>
        <v>19.30000000000001</v>
      </c>
    </row>
    <row r="13" spans="1:21" s="27" customFormat="1" ht="24" customHeight="1">
      <c r="A13" s="120">
        <v>5</v>
      </c>
      <c r="B13" s="23" t="s">
        <v>89</v>
      </c>
      <c r="C13" s="41">
        <v>214.4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769.3</v>
      </c>
      <c r="H13" s="18">
        <v>682</v>
      </c>
      <c r="I13" s="18">
        <f t="shared" si="1"/>
        <v>88.65202131808138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87.29999999999995</v>
      </c>
      <c r="U13" s="16">
        <f t="shared" si="6"/>
        <v>301.69999999999993</v>
      </c>
    </row>
    <row r="14" spans="1:21" s="27" customFormat="1" ht="24" customHeight="1">
      <c r="A14" s="120">
        <v>6</v>
      </c>
      <c r="B14" s="23" t="s">
        <v>58</v>
      </c>
      <c r="C14" s="41">
        <v>-16.4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414.2</v>
      </c>
      <c r="H14" s="18">
        <v>430.1</v>
      </c>
      <c r="I14" s="18">
        <f t="shared" si="1"/>
        <v>103.83872525350073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-15.900000000000034</v>
      </c>
      <c r="U14" s="16">
        <f t="shared" si="6"/>
        <v>-32.30000000000001</v>
      </c>
    </row>
    <row r="15" spans="1:21" s="27" customFormat="1" ht="24" customHeight="1">
      <c r="A15" s="120">
        <v>7</v>
      </c>
      <c r="B15" s="23" t="s">
        <v>59</v>
      </c>
      <c r="C15" s="41">
        <v>-67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509.4</v>
      </c>
      <c r="H15" s="18">
        <v>573.2</v>
      </c>
      <c r="I15" s="18">
        <f t="shared" si="1"/>
        <v>112.52453867294858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-63.80000000000007</v>
      </c>
      <c r="U15" s="16">
        <f t="shared" si="6"/>
        <v>-130.80000000000007</v>
      </c>
    </row>
    <row r="16" spans="1:21" s="27" customFormat="1" ht="24" customHeight="1">
      <c r="A16" s="120">
        <v>8</v>
      </c>
      <c r="B16" s="23" t="s">
        <v>60</v>
      </c>
      <c r="C16" s="41">
        <v>181.7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1403.9</v>
      </c>
      <c r="H16" s="18">
        <v>1081.2</v>
      </c>
      <c r="I16" s="18">
        <f t="shared" si="1"/>
        <v>77.01403233848565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322.70000000000005</v>
      </c>
      <c r="U16" s="16">
        <f t="shared" si="6"/>
        <v>504.4000000000001</v>
      </c>
    </row>
    <row r="17" spans="1:21" s="27" customFormat="1" ht="24" customHeight="1">
      <c r="A17" s="120">
        <v>9</v>
      </c>
      <c r="B17" s="23" t="s">
        <v>61</v>
      </c>
      <c r="C17" s="41">
        <f>-158.9+5.3</f>
        <v>-153.6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208.4</v>
      </c>
      <c r="H17" s="18">
        <v>132.9</v>
      </c>
      <c r="I17" s="18">
        <f t="shared" si="1"/>
        <v>63.771593090211134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75.5</v>
      </c>
      <c r="U17" s="16">
        <f t="shared" si="6"/>
        <v>-78.1</v>
      </c>
    </row>
    <row r="18" spans="1:21" s="27" customFormat="1" ht="24" customHeight="1">
      <c r="A18" s="120">
        <v>10</v>
      </c>
      <c r="B18" s="25" t="s">
        <v>62</v>
      </c>
      <c r="C18" s="41">
        <v>936.4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3265.6</v>
      </c>
      <c r="H18" s="18">
        <v>3184.3</v>
      </c>
      <c r="I18" s="18">
        <f t="shared" si="1"/>
        <v>97.51041156295935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81.29999999999973</v>
      </c>
      <c r="U18" s="16">
        <f t="shared" si="6"/>
        <v>1017.6999999999998</v>
      </c>
    </row>
    <row r="19" spans="1:21" ht="24" customHeight="1">
      <c r="A19" s="120">
        <v>11</v>
      </c>
      <c r="B19" s="25" t="s">
        <v>63</v>
      </c>
      <c r="C19" s="41">
        <v>-21.5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253.2</v>
      </c>
      <c r="H19" s="18">
        <v>198.7</v>
      </c>
      <c r="I19" s="18">
        <f t="shared" si="1"/>
        <v>78.47551342812005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54.5</v>
      </c>
      <c r="U19" s="16">
        <f t="shared" si="6"/>
        <v>33</v>
      </c>
    </row>
    <row r="20" spans="1:21" s="27" customFormat="1" ht="24" customHeight="1">
      <c r="A20" s="120">
        <v>12</v>
      </c>
      <c r="B20" s="23" t="s">
        <v>90</v>
      </c>
      <c r="C20" s="41">
        <f>-27.2+3.2</f>
        <v>-24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f>-9.8+486.8</f>
        <v>477</v>
      </c>
      <c r="H20" s="18">
        <f>-56.8+486.7</f>
        <v>429.9</v>
      </c>
      <c r="I20" s="18">
        <f t="shared" si="1"/>
        <v>90.12578616352201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47.10000000000002</v>
      </c>
      <c r="U20" s="16">
        <f t="shared" si="6"/>
        <v>23.100000000000023</v>
      </c>
    </row>
    <row r="21" spans="1:21" s="27" customFormat="1" ht="24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65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66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272.8</v>
      </c>
      <c r="H23" s="18">
        <v>210.2</v>
      </c>
      <c r="I23" s="18">
        <f>H23/G23*100</f>
        <v>77.05278592375365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62.60000000000002</v>
      </c>
      <c r="U23" s="16">
        <f t="shared" si="6"/>
        <v>184.00000000000006</v>
      </c>
    </row>
    <row r="24" spans="1:21" ht="22.5" customHeight="1">
      <c r="A24" s="120">
        <v>16</v>
      </c>
      <c r="B24" s="25" t="s">
        <v>67</v>
      </c>
      <c r="C24" s="46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s="27" customFormat="1" ht="36.75" customHeight="1">
      <c r="A25" s="120">
        <v>17</v>
      </c>
      <c r="B25" s="25" t="s">
        <v>68</v>
      </c>
      <c r="C25" s="41">
        <v>238.2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1107</v>
      </c>
      <c r="H25" s="18">
        <v>1458.5</v>
      </c>
      <c r="I25" s="18">
        <f>H25/G25*100</f>
        <v>131.7524841915086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-351.5</v>
      </c>
      <c r="U25" s="16">
        <f>C25+G25-H25</f>
        <v>-113.29999999999995</v>
      </c>
    </row>
    <row r="26" spans="1:21" s="27" customFormat="1" ht="24.75" customHeight="1">
      <c r="A26" s="120">
        <v>18</v>
      </c>
      <c r="B26" s="23" t="s">
        <v>69</v>
      </c>
      <c r="C26" s="41">
        <f>-4.5+37.2</f>
        <v>32.7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f>-10.1+880.6</f>
        <v>870.5</v>
      </c>
      <c r="H26" s="18">
        <f>766.5+16.4</f>
        <v>782.9</v>
      </c>
      <c r="I26" s="18">
        <f>H26/G26*100</f>
        <v>89.93681792073521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87.60000000000002</v>
      </c>
      <c r="U26" s="16">
        <f>C26+G26-H26</f>
        <v>120.30000000000007</v>
      </c>
    </row>
    <row r="27" spans="1:21" ht="25.5" customHeight="1">
      <c r="A27" s="120">
        <v>19</v>
      </c>
      <c r="B27" s="25" t="s">
        <v>70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105</v>
      </c>
      <c r="C28" s="41">
        <v>-11.6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62.1</v>
      </c>
      <c r="H28" s="18">
        <v>45.4</v>
      </c>
      <c r="I28" s="18">
        <f>H28/G28*100</f>
        <v>73.10789049919484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16.700000000000003</v>
      </c>
      <c r="U28" s="16">
        <f>C28+G28-H28</f>
        <v>5.100000000000001</v>
      </c>
    </row>
    <row r="29" spans="1:21" s="27" customFormat="1" ht="36.75" customHeight="1">
      <c r="A29" s="120">
        <v>21</v>
      </c>
      <c r="B29" s="23" t="s">
        <v>71</v>
      </c>
      <c r="C29" s="41">
        <f>248+3</f>
        <v>251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v>1033.7</v>
      </c>
      <c r="H29" s="18">
        <f>707.6+56.9</f>
        <v>764.5</v>
      </c>
      <c r="I29" s="18">
        <f>H29/G29*100</f>
        <v>73.95762793847345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269.20000000000005</v>
      </c>
      <c r="U29" s="16">
        <f>C29+G29-H29</f>
        <v>520.2</v>
      </c>
    </row>
    <row r="30" spans="1:21" ht="24" customHeight="1">
      <c r="A30" s="120">
        <v>22</v>
      </c>
      <c r="B30" s="23" t="s">
        <v>72</v>
      </c>
      <c r="C30" s="7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24" customHeight="1">
      <c r="A31" s="120">
        <v>23</v>
      </c>
      <c r="B31" s="25" t="s">
        <v>73</v>
      </c>
      <c r="C31" s="7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24" customHeight="1">
      <c r="A32" s="120">
        <v>24</v>
      </c>
      <c r="B32" s="25" t="s">
        <v>74</v>
      </c>
      <c r="C32" s="73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</row>
    <row r="33" spans="1:21" s="27" customFormat="1" ht="24" customHeight="1">
      <c r="A33" s="120">
        <v>25</v>
      </c>
      <c r="B33" s="25" t="s">
        <v>75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76</v>
      </c>
      <c r="C34" s="41">
        <v>-41.2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v>6774.5</v>
      </c>
      <c r="H34" s="18">
        <v>6308.8</v>
      </c>
      <c r="I34" s="18">
        <f aca="true" t="shared" si="12" ref="I34:I47">H34/G34*100</f>
        <v>93.12569193298398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465.6999999999998</v>
      </c>
      <c r="U34" s="16">
        <f aca="true" t="shared" si="15" ref="U34:U43">C34+G34-H34</f>
        <v>424.5</v>
      </c>
      <c r="V34" s="116">
        <f>G34-H34</f>
        <v>465.6999999999998</v>
      </c>
    </row>
    <row r="35" spans="1:21" ht="24.75" customHeight="1">
      <c r="A35" s="121"/>
      <c r="B35" s="25" t="s">
        <v>77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106</v>
      </c>
      <c r="C36" s="41">
        <v>452.2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1442.5</v>
      </c>
      <c r="H36" s="18">
        <v>1079</v>
      </c>
      <c r="I36" s="18">
        <f t="shared" si="12"/>
        <v>74.80069324090121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363.5</v>
      </c>
      <c r="U36" s="16">
        <f t="shared" si="15"/>
        <v>815.7</v>
      </c>
    </row>
    <row r="37" spans="1:21" s="27" customFormat="1" ht="24" customHeight="1">
      <c r="A37" s="120">
        <v>27</v>
      </c>
      <c r="B37" s="23" t="s">
        <v>78</v>
      </c>
      <c r="C37" s="41">
        <v>33.8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650.1</v>
      </c>
      <c r="H37" s="18">
        <v>619.6</v>
      </c>
      <c r="I37" s="18">
        <f t="shared" si="12"/>
        <v>95.30841409013998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30.5</v>
      </c>
      <c r="U37" s="16">
        <f t="shared" si="15"/>
        <v>64.29999999999995</v>
      </c>
    </row>
    <row r="38" spans="1:21" s="27" customFormat="1" ht="24" customHeight="1">
      <c r="A38" s="120">
        <v>28</v>
      </c>
      <c r="B38" s="25" t="s">
        <v>79</v>
      </c>
      <c r="C38" s="41">
        <v>48.1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1452.3</v>
      </c>
      <c r="H38" s="18">
        <v>1384.2</v>
      </c>
      <c r="I38" s="18">
        <f t="shared" si="12"/>
        <v>95.31088618054122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68.09999999999991</v>
      </c>
      <c r="U38" s="16">
        <f t="shared" si="15"/>
        <v>116.19999999999982</v>
      </c>
    </row>
    <row r="39" spans="1:21" s="27" customFormat="1" ht="24" customHeight="1">
      <c r="A39" s="120">
        <v>29</v>
      </c>
      <c r="B39" s="25" t="s">
        <v>80</v>
      </c>
      <c r="C39" s="41">
        <v>-102.1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2628.1</v>
      </c>
      <c r="H39" s="18">
        <v>2416.4</v>
      </c>
      <c r="I39" s="18">
        <f t="shared" si="12"/>
        <v>91.94475096077015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211.69999999999982</v>
      </c>
      <c r="U39" s="16">
        <f t="shared" si="15"/>
        <v>109.59999999999991</v>
      </c>
    </row>
    <row r="40" spans="1:21" ht="36.75" customHeight="1">
      <c r="A40" s="120">
        <v>30</v>
      </c>
      <c r="B40" s="25" t="s">
        <v>107</v>
      </c>
      <c r="C40" s="41">
        <v>-143.2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2630.8</v>
      </c>
      <c r="H40" s="18">
        <v>2665.8</v>
      </c>
      <c r="I40" s="18">
        <f t="shared" si="12"/>
        <v>101.33039379656378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-35</v>
      </c>
      <c r="U40" s="16">
        <f t="shared" si="15"/>
        <v>-178.19999999999982</v>
      </c>
    </row>
    <row r="41" spans="1:21" ht="24.75" customHeight="1">
      <c r="A41" s="120">
        <v>31</v>
      </c>
      <c r="B41" s="25" t="s">
        <v>81</v>
      </c>
      <c r="C41" s="41">
        <v>144.5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1047</v>
      </c>
      <c r="H41" s="18">
        <v>862.5</v>
      </c>
      <c r="I41" s="18">
        <f t="shared" si="12"/>
        <v>82.378223495702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184.5</v>
      </c>
      <c r="U41" s="16">
        <f t="shared" si="15"/>
        <v>329</v>
      </c>
    </row>
    <row r="42" spans="1:21" s="27" customFormat="1" ht="36.75" customHeight="1">
      <c r="A42" s="120">
        <v>32</v>
      </c>
      <c r="B42" s="23" t="s">
        <v>82</v>
      </c>
      <c r="C42" s="41">
        <v>-147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1948.4</v>
      </c>
      <c r="H42" s="18">
        <v>1737.1</v>
      </c>
      <c r="I42" s="18">
        <f t="shared" si="12"/>
        <v>89.15520427017039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211.30000000000018</v>
      </c>
      <c r="U42" s="16">
        <f t="shared" si="15"/>
        <v>64.30000000000018</v>
      </c>
    </row>
    <row r="43" spans="1:21" s="27" customFormat="1" ht="25.5" customHeight="1">
      <c r="A43" s="120">
        <v>33</v>
      </c>
      <c r="B43" s="25" t="s">
        <v>83</v>
      </c>
      <c r="C43" s="41">
        <v>-1190.3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4049.7</v>
      </c>
      <c r="H43" s="18">
        <v>2308</v>
      </c>
      <c r="I43" s="18">
        <f t="shared" si="12"/>
        <v>56.991875941427764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1741.6999999999998</v>
      </c>
      <c r="U43" s="16">
        <f t="shared" si="15"/>
        <v>551.3999999999996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-929.6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273249.2</v>
      </c>
      <c r="H44" s="16">
        <f>H45+H46+H47</f>
        <v>241827.19999999998</v>
      </c>
      <c r="I44" s="17">
        <f t="shared" si="12"/>
        <v>88.50060677213327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33734.7</v>
      </c>
      <c r="U44" s="59">
        <f>SUMIF(U45:U47,"&gt;0",U45:U47)</f>
        <v>31847.7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115</v>
      </c>
      <c r="C45" s="41">
        <v>-1887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261488</v>
      </c>
      <c r="H45" s="18">
        <f>219140+8676</f>
        <v>227816</v>
      </c>
      <c r="I45" s="18">
        <f t="shared" si="12"/>
        <v>87.12292724713944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33672</v>
      </c>
      <c r="U45" s="24">
        <f>C45+G45-H45</f>
        <v>31785</v>
      </c>
    </row>
    <row r="46" spans="1:21" s="28" customFormat="1" ht="24.75" customHeight="1">
      <c r="A46" s="122"/>
      <c r="B46" s="23" t="s">
        <v>86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f>230.3+70.7</f>
        <v>301</v>
      </c>
      <c r="H46" s="18">
        <v>238.3</v>
      </c>
      <c r="I46" s="18">
        <f t="shared" si="12"/>
        <v>79.16943521594685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62.69999999999999</v>
      </c>
      <c r="U46" s="24">
        <f>C46+G46-H46</f>
        <v>62.69999999999999</v>
      </c>
    </row>
    <row r="47" spans="1:23" s="7" customFormat="1" ht="24.75" customHeight="1">
      <c r="A47" s="122"/>
      <c r="B47" s="23" t="s">
        <v>77</v>
      </c>
      <c r="C47" s="41">
        <v>957.4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11460.2</v>
      </c>
      <c r="H47" s="18">
        <v>13772.9</v>
      </c>
      <c r="I47" s="18">
        <f t="shared" si="12"/>
        <v>120.18027608593218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-2312.699999999999</v>
      </c>
      <c r="U47" s="24">
        <f>C47+G47-H47</f>
        <v>-1355.2999999999993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87</v>
      </c>
      <c r="C48" s="42">
        <f>C8+C44</f>
        <v>-150.0999999999998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309309.9</v>
      </c>
      <c r="H48" s="16">
        <f>H8+H44</f>
        <v>273791.69999999995</v>
      </c>
      <c r="I48" s="17">
        <f>H48/G48*100</f>
        <v>88.51695338558511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38312.799999999996</v>
      </c>
      <c r="U48" s="59">
        <f>U8+U44</f>
        <v>37375.5</v>
      </c>
      <c r="V48" s="108">
        <f>V44+V8</f>
        <v>-761.1000000000001</v>
      </c>
      <c r="W48" s="108">
        <f>W44+W8</f>
        <v>-652.0999999999999</v>
      </c>
    </row>
    <row r="49" spans="1:21" ht="17.25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</row>
    <row r="50" spans="1:21" ht="4.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  <row r="51" spans="1:21" ht="18.75" customHeight="1" hidden="1">
      <c r="A51" s="120"/>
      <c r="B51" s="7" t="s">
        <v>92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93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21"/>
      <c r="C54" s="221"/>
      <c r="D54" s="221"/>
      <c r="E54" s="221"/>
      <c r="F54" s="221"/>
      <c r="T54" s="88"/>
    </row>
    <row r="55" spans="1:23" s="150" customFormat="1" ht="52.5" customHeight="1">
      <c r="A55" s="142"/>
      <c r="B55" s="216" t="s">
        <v>119</v>
      </c>
      <c r="C55" s="216"/>
      <c r="D55" s="216"/>
      <c r="E55" s="216"/>
      <c r="F55" s="216"/>
      <c r="G55" s="216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1:21" ht="49.5" customHeight="1" hidden="1">
      <c r="A56" s="125"/>
      <c r="B56" s="237" t="s">
        <v>40</v>
      </c>
      <c r="C56" s="237"/>
      <c r="D56" s="237"/>
      <c r="E56" s="237"/>
      <c r="F56" s="23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177" t="s">
        <v>116</v>
      </c>
      <c r="B57" s="177"/>
      <c r="C57" s="177"/>
      <c r="D57" s="177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>
      <c r="B58" s="1" t="s">
        <v>44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45</v>
      </c>
      <c r="C61" s="43">
        <f>C10+C18+C21+C27+C37+C39+C41</f>
        <v>873.0999999999999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1401.1999999999996</v>
      </c>
    </row>
    <row r="62" spans="2:21" ht="18.75">
      <c r="B62" s="1" t="s">
        <v>46</v>
      </c>
      <c r="C62" s="43">
        <f>C12+C14+C15+C17+C19+C20+C26</f>
        <v>-214.8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-45.49999999999997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20">
    <mergeCell ref="A57:D57"/>
    <mergeCell ref="B3:U3"/>
    <mergeCell ref="A49:U50"/>
    <mergeCell ref="G5:I5"/>
    <mergeCell ref="D24:U24"/>
    <mergeCell ref="D30:U32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1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3" sqref="I23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00" t="s">
        <v>95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43.5" customHeight="1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77"/>
      <c r="C4" s="77"/>
      <c r="D4" s="77"/>
      <c r="E4" s="77"/>
      <c r="F4" s="77"/>
      <c r="U4" s="74" t="s">
        <v>54</v>
      </c>
    </row>
    <row r="5" spans="1:21" ht="35.25" customHeight="1">
      <c r="A5" s="117"/>
      <c r="B5" s="3"/>
      <c r="C5" s="202" t="s">
        <v>1</v>
      </c>
      <c r="D5" s="222" t="s">
        <v>110</v>
      </c>
      <c r="E5" s="223"/>
      <c r="F5" s="224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</row>
    <row r="6" spans="1:21" ht="21" customHeight="1">
      <c r="A6" s="4" t="s">
        <v>39</v>
      </c>
      <c r="B6" s="4" t="s">
        <v>50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41.25" customHeight="1">
      <c r="A7" s="118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47">
        <f>SUM(C9:C43)</f>
        <v>15062.8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202296.49999999997</v>
      </c>
      <c r="H8" s="17">
        <f>SUM(H9:H43)</f>
        <v>221883.2</v>
      </c>
      <c r="I8" s="17">
        <f aca="true" t="shared" si="1" ref="I8:I29">H8/G8*100</f>
        <v>109.68217443208361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4017.6000000000004</v>
      </c>
      <c r="U8" s="59">
        <f>SUMIF(U9:U43,"&gt;0",U9:U43)</f>
        <v>9103.899999999996</v>
      </c>
      <c r="V8" s="105">
        <f>SUMIF(T9:T43,"&lt;0",T9:T43)</f>
        <v>-23604.300000000003</v>
      </c>
      <c r="W8" s="105">
        <f>SUMIF(U9:U43,"&lt;0",U9:U43)</f>
        <v>-13627.800000000003</v>
      </c>
    </row>
    <row r="9" spans="1:23" ht="39" customHeight="1">
      <c r="A9" s="120">
        <v>1</v>
      </c>
      <c r="B9" s="23" t="s">
        <v>56</v>
      </c>
      <c r="C9" s="41">
        <v>996.6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16469.6</v>
      </c>
      <c r="H9" s="18">
        <v>19848.6</v>
      </c>
      <c r="I9" s="18">
        <f t="shared" si="1"/>
        <v>120.51658813814544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-3379</v>
      </c>
      <c r="U9" s="16">
        <f aca="true" t="shared" si="5" ref="U9:U23">C9+G9-H9</f>
        <v>-2382.4000000000015</v>
      </c>
      <c r="W9" s="19">
        <f>G9-H9</f>
        <v>-3379</v>
      </c>
    </row>
    <row r="10" spans="1:23" ht="36.75" customHeight="1">
      <c r="A10" s="120">
        <v>2</v>
      </c>
      <c r="B10" s="53" t="s">
        <v>91</v>
      </c>
      <c r="C10" s="41">
        <v>43.7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3861.2</v>
      </c>
      <c r="H10" s="18">
        <v>4427.4</v>
      </c>
      <c r="I10" s="18">
        <f t="shared" si="1"/>
        <v>114.66383507717808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-566.1999999999998</v>
      </c>
      <c r="U10" s="16">
        <f t="shared" si="5"/>
        <v>-522.5</v>
      </c>
      <c r="W10" s="19">
        <f aca="true" t="shared" si="8" ref="W10:W43">G10-H10</f>
        <v>-566.1999999999998</v>
      </c>
    </row>
    <row r="11" spans="1:23" ht="36" customHeight="1">
      <c r="A11" s="120">
        <v>3</v>
      </c>
      <c r="B11" s="25" t="s">
        <v>108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1624.6</v>
      </c>
      <c r="H11" s="18">
        <v>1688.1</v>
      </c>
      <c r="I11" s="18">
        <f t="shared" si="1"/>
        <v>103.90865443801552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-63.5</v>
      </c>
      <c r="U11" s="16">
        <f t="shared" si="5"/>
        <v>-63.5</v>
      </c>
      <c r="W11" s="19">
        <f t="shared" si="8"/>
        <v>-63.5</v>
      </c>
    </row>
    <row r="12" spans="1:23" ht="24" customHeight="1">
      <c r="A12" s="120">
        <v>4</v>
      </c>
      <c r="B12" s="23" t="s">
        <v>57</v>
      </c>
      <c r="C12" s="41">
        <v>130.1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1372.4</v>
      </c>
      <c r="H12" s="18">
        <v>2149.2</v>
      </c>
      <c r="I12" s="18">
        <f t="shared" si="1"/>
        <v>156.60157388516464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-776.7999999999997</v>
      </c>
      <c r="U12" s="16">
        <f t="shared" si="5"/>
        <v>-646.6999999999998</v>
      </c>
      <c r="W12" s="19">
        <f t="shared" si="8"/>
        <v>-776.7999999999997</v>
      </c>
    </row>
    <row r="13" spans="1:23" s="27" customFormat="1" ht="24" customHeight="1">
      <c r="A13" s="120">
        <v>5</v>
      </c>
      <c r="B13" s="23" t="s">
        <v>89</v>
      </c>
      <c r="C13" s="41">
        <v>1268.3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4785.2</v>
      </c>
      <c r="H13" s="18">
        <v>5554.1</v>
      </c>
      <c r="I13" s="18">
        <f t="shared" si="1"/>
        <v>116.06829390621083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-768.9000000000005</v>
      </c>
      <c r="U13" s="16">
        <f t="shared" si="5"/>
        <v>499.39999999999964</v>
      </c>
      <c r="W13" s="19">
        <f t="shared" si="8"/>
        <v>-768.9000000000005</v>
      </c>
    </row>
    <row r="14" spans="1:23" s="27" customFormat="1" ht="24" customHeight="1">
      <c r="A14" s="120">
        <v>6</v>
      </c>
      <c r="B14" s="23" t="s">
        <v>58</v>
      </c>
      <c r="C14" s="41">
        <v>435.4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2825.2</v>
      </c>
      <c r="H14" s="18">
        <v>2447</v>
      </c>
      <c r="I14" s="18">
        <f t="shared" si="1"/>
        <v>86.61333710887725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378.1999999999998</v>
      </c>
      <c r="U14" s="16">
        <f t="shared" si="5"/>
        <v>813.5999999999999</v>
      </c>
      <c r="W14" s="19">
        <f t="shared" si="8"/>
        <v>378.1999999999998</v>
      </c>
    </row>
    <row r="15" spans="1:23" ht="24" customHeight="1">
      <c r="A15" s="120">
        <v>7</v>
      </c>
      <c r="B15" s="23" t="s">
        <v>59</v>
      </c>
      <c r="C15" s="41">
        <v>-0.1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2872.1</v>
      </c>
      <c r="H15" s="18">
        <v>3368.5</v>
      </c>
      <c r="I15" s="18">
        <f t="shared" si="1"/>
        <v>117.28352076877546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-496.4000000000001</v>
      </c>
      <c r="U15" s="16">
        <f t="shared" si="5"/>
        <v>-496.5</v>
      </c>
      <c r="W15" s="19">
        <f t="shared" si="8"/>
        <v>-496.4000000000001</v>
      </c>
    </row>
    <row r="16" spans="1:23" s="27" customFormat="1" ht="24" customHeight="1">
      <c r="A16" s="120">
        <v>8</v>
      </c>
      <c r="B16" s="23" t="s">
        <v>60</v>
      </c>
      <c r="C16" s="41">
        <v>-558.5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9280.3</v>
      </c>
      <c r="H16" s="18">
        <v>7346.8</v>
      </c>
      <c r="I16" s="18">
        <f t="shared" si="1"/>
        <v>79.16554421732057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1933.499999999999</v>
      </c>
      <c r="U16" s="16">
        <f t="shared" si="5"/>
        <v>1374.999999999999</v>
      </c>
      <c r="W16" s="19">
        <f t="shared" si="8"/>
        <v>1933.499999999999</v>
      </c>
    </row>
    <row r="17" spans="1:23" s="27" customFormat="1" ht="24" customHeight="1">
      <c r="A17" s="120">
        <v>9</v>
      </c>
      <c r="B17" s="23" t="s">
        <v>61</v>
      </c>
      <c r="C17" s="41">
        <f>31.1+415.7</f>
        <v>446.8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4502.1</v>
      </c>
      <c r="H17" s="18">
        <v>4526.8</v>
      </c>
      <c r="I17" s="18">
        <f t="shared" si="1"/>
        <v>100.54863286022078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-24.699999999999818</v>
      </c>
      <c r="U17" s="16">
        <f t="shared" si="5"/>
        <v>422.10000000000036</v>
      </c>
      <c r="W17" s="19">
        <f t="shared" si="8"/>
        <v>-24.699999999999818</v>
      </c>
    </row>
    <row r="18" spans="1:23" ht="24" customHeight="1">
      <c r="A18" s="120">
        <v>10</v>
      </c>
      <c r="B18" s="25" t="s">
        <v>62</v>
      </c>
      <c r="C18" s="41">
        <v>219.5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3490.5</v>
      </c>
      <c r="H18" s="18">
        <v>3763.1</v>
      </c>
      <c r="I18" s="18">
        <f t="shared" si="1"/>
        <v>107.80976937401519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-272.5999999999999</v>
      </c>
      <c r="U18" s="16">
        <f t="shared" si="5"/>
        <v>-53.09999999999991</v>
      </c>
      <c r="W18" s="19">
        <f t="shared" si="8"/>
        <v>-272.5999999999999</v>
      </c>
    </row>
    <row r="19" spans="1:23" ht="24" customHeight="1">
      <c r="A19" s="120">
        <v>11</v>
      </c>
      <c r="B19" s="25" t="s">
        <v>63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1002.3</v>
      </c>
      <c r="H19" s="18">
        <v>1002.3</v>
      </c>
      <c r="I19" s="18">
        <f t="shared" si="1"/>
        <v>100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0</v>
      </c>
      <c r="U19" s="16">
        <f t="shared" si="5"/>
        <v>0</v>
      </c>
      <c r="W19" s="19">
        <f t="shared" si="8"/>
        <v>0</v>
      </c>
    </row>
    <row r="20" spans="1:23" ht="24" customHeight="1">
      <c r="A20" s="120">
        <v>12</v>
      </c>
      <c r="B20" s="23" t="s">
        <v>90</v>
      </c>
      <c r="C20" s="41">
        <f>-62.2+182.3</f>
        <v>120.10000000000001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1251.1+2973.7</f>
        <v>4224.799999999999</v>
      </c>
      <c r="H20" s="18">
        <f>1306.1+3119.7</f>
        <v>4425.799999999999</v>
      </c>
      <c r="I20" s="18">
        <f t="shared" si="1"/>
        <v>104.7576216625639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-201</v>
      </c>
      <c r="U20" s="16">
        <f t="shared" si="5"/>
        <v>-80.89999999999964</v>
      </c>
      <c r="W20" s="19">
        <f t="shared" si="8"/>
        <v>-201</v>
      </c>
    </row>
    <row r="21" spans="1:23" ht="24" customHeight="1">
      <c r="A21" s="120">
        <v>13</v>
      </c>
      <c r="B21" s="25" t="s">
        <v>64</v>
      </c>
      <c r="C21" s="41">
        <v>-15.6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-11.2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11.2</v>
      </c>
      <c r="U21" s="16">
        <f t="shared" si="5"/>
        <v>-4.4</v>
      </c>
      <c r="W21" s="19">
        <f t="shared" si="8"/>
        <v>11.2</v>
      </c>
    </row>
    <row r="22" spans="1:23" ht="24" customHeight="1">
      <c r="A22" s="120">
        <v>14</v>
      </c>
      <c r="B22" s="25" t="s">
        <v>65</v>
      </c>
      <c r="C22" s="41">
        <v>36.3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398.5</v>
      </c>
      <c r="H22" s="18">
        <v>323.5</v>
      </c>
      <c r="I22" s="18">
        <f t="shared" si="1"/>
        <v>81.17942283563363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75</v>
      </c>
      <c r="U22" s="16">
        <f t="shared" si="5"/>
        <v>111.30000000000001</v>
      </c>
      <c r="W22" s="19">
        <f t="shared" si="8"/>
        <v>75</v>
      </c>
    </row>
    <row r="23" spans="1:23" ht="39.75" customHeight="1">
      <c r="A23" s="120">
        <v>15</v>
      </c>
      <c r="B23" s="25" t="s">
        <v>66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5298.3</v>
      </c>
      <c r="H23" s="18">
        <v>5298.3</v>
      </c>
      <c r="I23" s="18">
        <f t="shared" si="1"/>
        <v>100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0</v>
      </c>
      <c r="U23" s="16">
        <f t="shared" si="5"/>
        <v>0</v>
      </c>
      <c r="W23" s="19">
        <f t="shared" si="8"/>
        <v>0</v>
      </c>
    </row>
    <row r="24" spans="1:23" ht="24" customHeight="1">
      <c r="A24" s="120">
        <v>16</v>
      </c>
      <c r="B24" s="25" t="s">
        <v>67</v>
      </c>
      <c r="C24" s="70"/>
      <c r="D24" s="229" t="s">
        <v>102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W24" s="19">
        <f t="shared" si="8"/>
        <v>0</v>
      </c>
    </row>
    <row r="25" spans="1:23" ht="36" customHeight="1">
      <c r="A25" s="120">
        <v>17</v>
      </c>
      <c r="B25" s="25" t="s">
        <v>68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9608.3</v>
      </c>
      <c r="H25" s="18">
        <v>10031.6</v>
      </c>
      <c r="I25" s="18">
        <f t="shared" si="1"/>
        <v>104.40556602104432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-423.3000000000011</v>
      </c>
      <c r="U25" s="16">
        <f>C25+G25-H25</f>
        <v>-423.3000000000011</v>
      </c>
      <c r="W25" s="19">
        <f t="shared" si="8"/>
        <v>-423.3000000000011</v>
      </c>
    </row>
    <row r="26" spans="1:23" ht="24" customHeight="1">
      <c r="A26" s="120">
        <v>18</v>
      </c>
      <c r="B26" s="23" t="s">
        <v>69</v>
      </c>
      <c r="C26" s="41">
        <f>15.8+250.7</f>
        <v>266.5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3877.5</v>
      </c>
      <c r="H26" s="18">
        <f>4953.4+15.8</f>
        <v>4969.2</v>
      </c>
      <c r="I26" s="18">
        <f t="shared" si="1"/>
        <v>128.15473887814312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-1091.6999999999998</v>
      </c>
      <c r="U26" s="16">
        <f>C26+G26-H26</f>
        <v>-825.1999999999998</v>
      </c>
      <c r="W26" s="19">
        <f t="shared" si="8"/>
        <v>-1091.6999999999998</v>
      </c>
    </row>
    <row r="27" spans="1:23" s="27" customFormat="1" ht="24" customHeight="1">
      <c r="A27" s="120">
        <v>19</v>
      </c>
      <c r="B27" s="25" t="s">
        <v>70</v>
      </c>
      <c r="C27" s="41">
        <v>-186.8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3619.7</v>
      </c>
      <c r="H27" s="18">
        <v>4400.8</v>
      </c>
      <c r="I27" s="18">
        <f t="shared" si="1"/>
        <v>121.57913639251873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-781.1000000000004</v>
      </c>
      <c r="U27" s="16">
        <f>C27+G27-H27</f>
        <v>-967.9000000000005</v>
      </c>
      <c r="W27" s="19">
        <f t="shared" si="8"/>
        <v>-781.1000000000004</v>
      </c>
    </row>
    <row r="28" spans="1:23" ht="39" customHeight="1">
      <c r="A28" s="120">
        <v>20</v>
      </c>
      <c r="B28" s="25" t="s">
        <v>105</v>
      </c>
      <c r="C28" s="41">
        <v>-152.8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6135.2</v>
      </c>
      <c r="H28" s="18">
        <v>6305.3</v>
      </c>
      <c r="I28" s="18">
        <f t="shared" si="1"/>
        <v>102.77252575303169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-170.10000000000036</v>
      </c>
      <c r="U28" s="16">
        <f>C28+G28-H28</f>
        <v>-322.90000000000055</v>
      </c>
      <c r="W28" s="19">
        <f t="shared" si="8"/>
        <v>-170.10000000000036</v>
      </c>
    </row>
    <row r="29" spans="1:23" ht="39" customHeight="1">
      <c r="A29" s="120">
        <v>21</v>
      </c>
      <c r="B29" s="23" t="s">
        <v>71</v>
      </c>
      <c r="C29" s="41">
        <f>176.8+382.6</f>
        <v>559.4000000000001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1457.2+6046.3+417.7</f>
        <v>7921.2</v>
      </c>
      <c r="H29" s="18">
        <f>1634+6419.6+359.6</f>
        <v>8413.2</v>
      </c>
      <c r="I29" s="18">
        <f t="shared" si="1"/>
        <v>106.21118012422362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-492.0000000000009</v>
      </c>
      <c r="U29" s="16">
        <f>C29+G29-H29</f>
        <v>67.39999999999964</v>
      </c>
      <c r="W29" s="19">
        <f t="shared" si="8"/>
        <v>-492.0000000000009</v>
      </c>
    </row>
    <row r="30" spans="1:23" ht="24" customHeight="1">
      <c r="A30" s="120">
        <v>22</v>
      </c>
      <c r="B30" s="23" t="s">
        <v>72</v>
      </c>
      <c r="C30" s="71"/>
      <c r="D30" s="231" t="s">
        <v>102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W30" s="19">
        <f t="shared" si="8"/>
        <v>0</v>
      </c>
    </row>
    <row r="31" spans="1:23" ht="24" customHeight="1">
      <c r="A31" s="120">
        <v>23</v>
      </c>
      <c r="B31" s="25" t="s">
        <v>73</v>
      </c>
      <c r="C31" s="8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W31" s="19">
        <f t="shared" si="8"/>
        <v>0</v>
      </c>
    </row>
    <row r="32" spans="1:23" ht="24" customHeight="1">
      <c r="A32" s="120">
        <v>24</v>
      </c>
      <c r="B32" s="25" t="s">
        <v>74</v>
      </c>
      <c r="C32" s="8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W32" s="19">
        <f t="shared" si="8"/>
        <v>0</v>
      </c>
    </row>
    <row r="33" spans="1:23" ht="24" customHeight="1">
      <c r="A33" s="120">
        <v>25</v>
      </c>
      <c r="B33" s="25" t="s">
        <v>97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76</v>
      </c>
      <c r="C34" s="41">
        <v>-1400.8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v>29492.4</v>
      </c>
      <c r="H34" s="18">
        <v>33178</v>
      </c>
      <c r="I34" s="18">
        <f aca="true" t="shared" si="13" ref="I34:I49">H34/G34*100</f>
        <v>112.49677883115649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-3685.5999999999985</v>
      </c>
      <c r="U34" s="16">
        <f aca="true" t="shared" si="17" ref="U34:U43">C34+G34-H34</f>
        <v>-5086.399999999998</v>
      </c>
      <c r="W34" s="19">
        <f t="shared" si="8"/>
        <v>-3685.5999999999985</v>
      </c>
    </row>
    <row r="35" spans="1:23" ht="24.75" customHeight="1">
      <c r="A35" s="121"/>
      <c r="B35" s="25" t="s">
        <v>77</v>
      </c>
      <c r="C35" s="41">
        <v>43.9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826.3</v>
      </c>
      <c r="H35" s="18">
        <v>658.4</v>
      </c>
      <c r="I35" s="18">
        <f t="shared" si="13"/>
        <v>79.68050344911049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167.89999999999998</v>
      </c>
      <c r="U35" s="16">
        <f t="shared" si="17"/>
        <v>211.79999999999995</v>
      </c>
      <c r="W35" s="19">
        <f t="shared" si="8"/>
        <v>167.89999999999998</v>
      </c>
    </row>
    <row r="36" spans="1:23" ht="37.5" customHeight="1">
      <c r="A36" s="120">
        <v>26</v>
      </c>
      <c r="B36" s="25" t="s">
        <v>106</v>
      </c>
      <c r="C36" s="41">
        <v>562.3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3805</v>
      </c>
      <c r="H36" s="18">
        <v>3519.6</v>
      </c>
      <c r="I36" s="18">
        <f t="shared" si="13"/>
        <v>92.4993429697766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285.4000000000001</v>
      </c>
      <c r="U36" s="16">
        <f t="shared" si="17"/>
        <v>847.7000000000003</v>
      </c>
      <c r="W36" s="19">
        <f t="shared" si="8"/>
        <v>285.4000000000001</v>
      </c>
    </row>
    <row r="37" spans="1:23" ht="24" customHeight="1">
      <c r="A37" s="120">
        <v>27</v>
      </c>
      <c r="B37" s="23" t="s">
        <v>78</v>
      </c>
      <c r="C37" s="41">
        <v>80.8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4344.8</v>
      </c>
      <c r="H37" s="18">
        <v>4466.6</v>
      </c>
      <c r="I37" s="18">
        <f t="shared" si="13"/>
        <v>102.80335113238814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-121.80000000000018</v>
      </c>
      <c r="U37" s="16">
        <f t="shared" si="17"/>
        <v>-41</v>
      </c>
      <c r="W37" s="19">
        <f t="shared" si="8"/>
        <v>-121.80000000000018</v>
      </c>
    </row>
    <row r="38" spans="1:23" ht="24" customHeight="1">
      <c r="A38" s="120">
        <v>28</v>
      </c>
      <c r="B38" s="25" t="s">
        <v>79</v>
      </c>
      <c r="C38" s="41">
        <v>690.4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14726.7</v>
      </c>
      <c r="H38" s="18">
        <v>14327.5</v>
      </c>
      <c r="I38" s="18">
        <f t="shared" si="13"/>
        <v>97.28927729905546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399.2000000000007</v>
      </c>
      <c r="U38" s="16">
        <f t="shared" si="17"/>
        <v>1089.6000000000004</v>
      </c>
      <c r="V38" s="19"/>
      <c r="W38" s="19">
        <f t="shared" si="8"/>
        <v>399.2000000000007</v>
      </c>
    </row>
    <row r="39" spans="1:23" ht="24" customHeight="1">
      <c r="A39" s="120">
        <v>29</v>
      </c>
      <c r="B39" s="25" t="s">
        <v>80</v>
      </c>
      <c r="C39" s="41">
        <v>3152.3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15354.8</v>
      </c>
      <c r="H39" s="18">
        <v>20003.8</v>
      </c>
      <c r="I39" s="18">
        <f t="shared" si="13"/>
        <v>130.27717716935422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-4649</v>
      </c>
      <c r="U39" s="16">
        <f t="shared" si="17"/>
        <v>-1496.7000000000007</v>
      </c>
      <c r="W39" s="19">
        <f t="shared" si="8"/>
        <v>-4649</v>
      </c>
    </row>
    <row r="40" spans="1:23" s="27" customFormat="1" ht="26.25" customHeight="1">
      <c r="A40" s="120">
        <v>30</v>
      </c>
      <c r="B40" s="25" t="s">
        <v>107</v>
      </c>
      <c r="C40" s="41">
        <f>7181.5-21.4</f>
        <v>7160.1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20053.3+822.8</f>
        <v>20876.1</v>
      </c>
      <c r="H40" s="18">
        <f>24991.2+995.5</f>
        <v>25986.7</v>
      </c>
      <c r="I40" s="18">
        <f t="shared" si="13"/>
        <v>124.480626170597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-5110.600000000002</v>
      </c>
      <c r="U40" s="16">
        <f t="shared" si="17"/>
        <v>2049.4999999999964</v>
      </c>
      <c r="W40" s="19">
        <f t="shared" si="8"/>
        <v>-5110.600000000002</v>
      </c>
    </row>
    <row r="41" spans="1:23" ht="24.75" customHeight="1">
      <c r="A41" s="120">
        <v>31</v>
      </c>
      <c r="B41" s="25" t="s">
        <v>81</v>
      </c>
      <c r="C41" s="41">
        <v>-2.7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830.3</v>
      </c>
      <c r="H41" s="18">
        <v>976.3</v>
      </c>
      <c r="I41" s="18">
        <f t="shared" si="13"/>
        <v>117.584005781043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-146</v>
      </c>
      <c r="U41" s="16">
        <f t="shared" si="17"/>
        <v>-148.70000000000005</v>
      </c>
      <c r="W41" s="19">
        <f t="shared" si="8"/>
        <v>-146</v>
      </c>
    </row>
    <row r="42" spans="1:23" s="27" customFormat="1" ht="36.75" customHeight="1">
      <c r="A42" s="120">
        <v>32</v>
      </c>
      <c r="B42" s="23" t="s">
        <v>82</v>
      </c>
      <c r="C42" s="41">
        <f>-23.2+872.5</f>
        <v>849.3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8904.1+383.2</f>
        <v>9287.300000000001</v>
      </c>
      <c r="H42" s="18">
        <f>8132.9+387.2</f>
        <v>8520.1</v>
      </c>
      <c r="I42" s="18">
        <f t="shared" si="13"/>
        <v>91.73925683460207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767.2000000000007</v>
      </c>
      <c r="U42" s="16">
        <f t="shared" si="17"/>
        <v>1616.5</v>
      </c>
      <c r="W42" s="19">
        <f t="shared" si="8"/>
        <v>767.2000000000007</v>
      </c>
    </row>
    <row r="43" spans="1:23" s="27" customFormat="1" ht="23.25" customHeight="1">
      <c r="A43" s="120">
        <v>33</v>
      </c>
      <c r="B43" s="25" t="s">
        <v>83</v>
      </c>
      <c r="C43" s="41">
        <f>50.2+268.1</f>
        <v>318.3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6398.6+3185.2</f>
        <v>9583.8</v>
      </c>
      <c r="H43" s="18">
        <f>6448.8+3519</f>
        <v>9967.8</v>
      </c>
      <c r="I43" s="18">
        <f t="shared" si="13"/>
        <v>104.00676140987916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-384</v>
      </c>
      <c r="U43" s="16">
        <f t="shared" si="17"/>
        <v>-65.70000000000073</v>
      </c>
      <c r="W43" s="19">
        <f t="shared" si="8"/>
        <v>-384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248397.19999999998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312407.80000000005</v>
      </c>
      <c r="H44" s="16">
        <f>H45+H46+H47</f>
        <v>305241</v>
      </c>
      <c r="I44" s="17">
        <f t="shared" si="13"/>
        <v>97.70594716265086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8000</v>
      </c>
      <c r="U44" s="59">
        <f>SUMIF(U45:U47,"&gt;0",U45:U47)</f>
        <v>255583.5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85</v>
      </c>
      <c r="C45" s="41">
        <f>5042+242286</f>
        <v>247328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81430+217620</f>
        <v>299050</v>
      </c>
      <c r="H45" s="18">
        <f>76319+205233+3069+6429</f>
        <v>291050</v>
      </c>
      <c r="I45" s="18">
        <f t="shared" si="13"/>
        <v>97.32486206320013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8000</v>
      </c>
      <c r="U45" s="24">
        <f>C45+G45-H45</f>
        <v>255328</v>
      </c>
      <c r="W45" s="19"/>
    </row>
    <row r="46" spans="1:23" s="28" customFormat="1" ht="24.75" customHeight="1">
      <c r="A46" s="122"/>
      <c r="B46" s="23" t="s">
        <v>86</v>
      </c>
      <c r="C46" s="41">
        <v>316.4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f>2587.6+532.3</f>
        <v>3119.8999999999996</v>
      </c>
      <c r="H46" s="18">
        <v>3180.8</v>
      </c>
      <c r="I46" s="18">
        <f t="shared" si="13"/>
        <v>101.95198564056543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-60.900000000000546</v>
      </c>
      <c r="U46" s="24">
        <f>C46+G46-H46</f>
        <v>255.49999999999955</v>
      </c>
      <c r="W46" s="19"/>
    </row>
    <row r="47" spans="1:23" s="7" customFormat="1" ht="24.75" customHeight="1">
      <c r="A47" s="122"/>
      <c r="B47" s="23" t="s">
        <v>77</v>
      </c>
      <c r="C47" s="41">
        <v>752.8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10237.9</v>
      </c>
      <c r="H47" s="18">
        <v>11010.2</v>
      </c>
      <c r="I47" s="18">
        <f t="shared" si="13"/>
        <v>107.5435392023755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-772.3000000000011</v>
      </c>
      <c r="U47" s="24">
        <f>C47+G47-H47</f>
        <v>-19.50000000000182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87</v>
      </c>
      <c r="C48" s="42">
        <f>C8+C44</f>
        <v>263460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514704.30000000005</v>
      </c>
      <c r="H48" s="16">
        <f>H44+H8</f>
        <v>527124.2</v>
      </c>
      <c r="I48" s="17">
        <f t="shared" si="13"/>
        <v>102.41301656115947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12017.6</v>
      </c>
      <c r="U48" s="59">
        <f>U44+U8</f>
        <v>264687.4</v>
      </c>
      <c r="V48" s="108">
        <f>V44+V8</f>
        <v>-23613.300000000003</v>
      </c>
      <c r="W48" s="108">
        <f>W44+W8</f>
        <v>-13636.800000000003</v>
      </c>
    </row>
    <row r="49" spans="2:21" ht="84.75" customHeight="1" hidden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12132.900000000001</v>
      </c>
      <c r="U49" s="12"/>
    </row>
    <row r="50" spans="2:21" ht="33.75" customHeight="1">
      <c r="B50" s="238"/>
      <c r="C50" s="238"/>
      <c r="D50" s="238"/>
      <c r="E50" s="238"/>
      <c r="F50" s="238"/>
      <c r="G50" s="238"/>
      <c r="H50" s="238"/>
      <c r="I50" s="238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92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93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255694.4</v>
      </c>
    </row>
    <row r="55" spans="1:23" s="150" customFormat="1" ht="48.75" customHeight="1">
      <c r="A55" s="142"/>
      <c r="B55" s="216" t="s">
        <v>119</v>
      </c>
      <c r="C55" s="216"/>
      <c r="D55" s="216"/>
      <c r="E55" s="216"/>
      <c r="F55" s="216"/>
      <c r="G55" s="216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2:21" ht="46.5" customHeight="1" hidden="1">
      <c r="B56" s="239" t="s">
        <v>40</v>
      </c>
      <c r="C56" s="239"/>
      <c r="D56" s="239"/>
      <c r="E56" s="239"/>
      <c r="F56" s="23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 hidden="1">
      <c r="A57" s="177" t="s">
        <v>116</v>
      </c>
      <c r="B57" s="177"/>
      <c r="C57" s="177"/>
      <c r="D57" s="177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>
      <c r="B58" s="1" t="s">
        <v>43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44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3291.2000000000003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-3234.300000000001</v>
      </c>
    </row>
    <row r="63" spans="2:21" ht="18.75">
      <c r="B63" s="1" t="s">
        <v>46</v>
      </c>
      <c r="C63" s="43">
        <f>C12+C14+C15+C17+C19+C20+C26</f>
        <v>1398.8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-813.599999999999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P5:R5"/>
    <mergeCell ref="D30:U32"/>
    <mergeCell ref="B50:I50"/>
    <mergeCell ref="B56:F56"/>
    <mergeCell ref="G5:I5"/>
    <mergeCell ref="T5:T7"/>
    <mergeCell ref="C5:C6"/>
    <mergeCell ref="B55:G55"/>
    <mergeCell ref="A57:D57"/>
    <mergeCell ref="D24:U24"/>
    <mergeCell ref="M5:O5"/>
    <mergeCell ref="G1:U1"/>
    <mergeCell ref="B2:U2"/>
    <mergeCell ref="B3:U3"/>
    <mergeCell ref="D5:F5"/>
    <mergeCell ref="S5:S7"/>
    <mergeCell ref="U5:U7"/>
    <mergeCell ref="J5:L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6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2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13" sqref="B13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00" t="s">
        <v>96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37.5" customHeight="1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201"/>
      <c r="E4" s="201"/>
      <c r="F4" s="201"/>
      <c r="U4" s="74" t="s">
        <v>54</v>
      </c>
    </row>
    <row r="5" spans="1:21" ht="34.5" customHeight="1">
      <c r="A5" s="117"/>
      <c r="B5" s="3"/>
      <c r="C5" s="202" t="s">
        <v>1</v>
      </c>
      <c r="D5" s="222" t="s">
        <v>110</v>
      </c>
      <c r="E5" s="223"/>
      <c r="F5" s="224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120</v>
      </c>
      <c r="U5" s="187" t="s">
        <v>123</v>
      </c>
    </row>
    <row r="6" spans="1:21" ht="21" customHeight="1">
      <c r="A6" s="4" t="s">
        <v>39</v>
      </c>
      <c r="B6" s="4" t="s">
        <v>50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47">
        <f>SUM(C9:C43)</f>
        <v>-1453.9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28678.800000000003</v>
      </c>
      <c r="H8" s="17">
        <f>SUM(H9:H43)</f>
        <v>30145</v>
      </c>
      <c r="I8" s="17">
        <f aca="true" t="shared" si="1" ref="I8:I46">H8/G8*100</f>
        <v>105.11248727282869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419.7999999999997</v>
      </c>
      <c r="U8" s="60">
        <f>SUMIF(U9:U43,"&gt;0",U9:U43)</f>
        <v>4.400000000000546</v>
      </c>
      <c r="V8" s="105">
        <f>SUMIF(T9:T43,"&lt;0",T9:T43)</f>
        <v>-1885.9999999999993</v>
      </c>
      <c r="W8" s="105">
        <f>SUMIF(U9:U43,"&lt;0",U9:U43)</f>
        <v>-2924.5000000000005</v>
      </c>
    </row>
    <row r="9" spans="1:23" ht="37.5" customHeight="1">
      <c r="A9" s="120">
        <v>1</v>
      </c>
      <c r="B9" s="23" t="s">
        <v>56</v>
      </c>
      <c r="C9" s="41">
        <v>-19.6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1334.4</v>
      </c>
      <c r="H9" s="18">
        <v>1484.9</v>
      </c>
      <c r="I9" s="18">
        <f t="shared" si="1"/>
        <v>111.27847721822542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-150.5</v>
      </c>
      <c r="U9" s="16">
        <f aca="true" t="shared" si="3" ref="U9:U23">C9+G9-H9</f>
        <v>-170.0999999999999</v>
      </c>
      <c r="W9" s="19">
        <f>G9-H9</f>
        <v>-150.5</v>
      </c>
    </row>
    <row r="10" spans="1:23" ht="36.75" customHeight="1">
      <c r="A10" s="120">
        <v>2</v>
      </c>
      <c r="B10" s="53" t="s">
        <v>91</v>
      </c>
      <c r="C10" s="41">
        <v>3.2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422.4</v>
      </c>
      <c r="H10" s="18">
        <v>653.8</v>
      </c>
      <c r="I10" s="18">
        <f t="shared" si="1"/>
        <v>154.78219696969697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-231.39999999999998</v>
      </c>
      <c r="U10" s="16">
        <f t="shared" si="3"/>
        <v>-228.2</v>
      </c>
      <c r="W10" s="19">
        <f aca="true" t="shared" si="6" ref="W10:W46">G10-H10</f>
        <v>-231.39999999999998</v>
      </c>
    </row>
    <row r="11" spans="1:23" ht="36" customHeight="1">
      <c r="A11" s="120">
        <v>3</v>
      </c>
      <c r="B11" s="25" t="s">
        <v>108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57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89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58</v>
      </c>
      <c r="C14" s="41">
        <v>0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0</v>
      </c>
      <c r="U14" s="16">
        <f t="shared" si="3"/>
        <v>0</v>
      </c>
      <c r="W14" s="19">
        <f t="shared" si="6"/>
        <v>0</v>
      </c>
    </row>
    <row r="15" spans="1:23" ht="24" customHeight="1">
      <c r="A15" s="120">
        <v>7</v>
      </c>
      <c r="B15" s="23" t="s">
        <v>59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60</v>
      </c>
      <c r="C16" s="41">
        <v>-180.2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1543.3</v>
      </c>
      <c r="H16" s="18">
        <v>1629.1</v>
      </c>
      <c r="I16" s="18">
        <f t="shared" si="1"/>
        <v>105.55951532430505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-85.79999999999995</v>
      </c>
      <c r="U16" s="16">
        <f t="shared" si="3"/>
        <v>-266</v>
      </c>
      <c r="W16" s="19">
        <f t="shared" si="6"/>
        <v>-85.79999999999995</v>
      </c>
    </row>
    <row r="17" spans="1:23" s="27" customFormat="1" ht="24" customHeight="1">
      <c r="A17" s="120">
        <v>9</v>
      </c>
      <c r="B17" s="23" t="s">
        <v>61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62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63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90</v>
      </c>
      <c r="C20" s="41">
        <f>-130.9-94.9</f>
        <v>-225.8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114.2+1992</f>
        <v>2106.2</v>
      </c>
      <c r="H20" s="18">
        <f>6.6+1969</f>
        <v>1975.6</v>
      </c>
      <c r="I20" s="18">
        <f t="shared" si="1"/>
        <v>93.79925932959833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130.5999999999999</v>
      </c>
      <c r="U20" s="16">
        <f t="shared" si="3"/>
        <v>-95.20000000000005</v>
      </c>
      <c r="W20" s="19">
        <f t="shared" si="6"/>
        <v>130.5999999999999</v>
      </c>
    </row>
    <row r="21" spans="1:23" ht="24" customHeight="1">
      <c r="A21" s="120">
        <v>13</v>
      </c>
      <c r="B21" s="25" t="s">
        <v>64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0</v>
      </c>
      <c r="U21" s="16">
        <f t="shared" si="3"/>
        <v>-11.7</v>
      </c>
      <c r="W21" s="19">
        <f t="shared" si="6"/>
        <v>0</v>
      </c>
    </row>
    <row r="22" spans="1:23" ht="24" customHeight="1">
      <c r="A22" s="120">
        <v>14</v>
      </c>
      <c r="B22" s="25" t="s">
        <v>65</v>
      </c>
      <c r="C22" s="41">
        <v>-319.8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2383.7</v>
      </c>
      <c r="H22" s="18">
        <v>2167.1</v>
      </c>
      <c r="I22" s="18">
        <f t="shared" si="1"/>
        <v>90.91328606787768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216.5999999999999</v>
      </c>
      <c r="U22" s="16">
        <f t="shared" si="3"/>
        <v>-103.20000000000027</v>
      </c>
      <c r="V22" s="19">
        <f>U22+U38</f>
        <v>-98.79999999999973</v>
      </c>
      <c r="W22" s="19">
        <f t="shared" si="6"/>
        <v>216.5999999999999</v>
      </c>
    </row>
    <row r="23" spans="1:23" ht="39.75" customHeight="1">
      <c r="A23" s="120">
        <v>15</v>
      </c>
      <c r="B23" s="25" t="s">
        <v>66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67</v>
      </c>
      <c r="C24" s="41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W24" s="19">
        <f t="shared" si="6"/>
        <v>0</v>
      </c>
    </row>
    <row r="25" spans="1:23" ht="36" customHeight="1">
      <c r="A25" s="120">
        <v>17</v>
      </c>
      <c r="B25" s="25" t="s">
        <v>68</v>
      </c>
      <c r="C25" s="41">
        <v>-94.8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1718.1</v>
      </c>
      <c r="H25" s="18">
        <v>1698.5</v>
      </c>
      <c r="I25" s="18">
        <f t="shared" si="1"/>
        <v>98.85920493568477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19.59999999999991</v>
      </c>
      <c r="U25" s="16">
        <f>C25+G25-H25</f>
        <v>-75.20000000000005</v>
      </c>
      <c r="W25" s="19">
        <f t="shared" si="6"/>
        <v>19.59999999999991</v>
      </c>
    </row>
    <row r="26" spans="1:23" ht="24" customHeight="1">
      <c r="A26" s="120">
        <v>18</v>
      </c>
      <c r="B26" s="23" t="s">
        <v>69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856.3</v>
      </c>
      <c r="H26" s="18">
        <v>882.1</v>
      </c>
      <c r="I26" s="18">
        <f t="shared" si="1"/>
        <v>103.01296274670094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-25.800000000000068</v>
      </c>
      <c r="U26" s="16">
        <f>C26+G26-H26</f>
        <v>-25.800000000000068</v>
      </c>
      <c r="W26" s="19">
        <f t="shared" si="6"/>
        <v>-25.800000000000068</v>
      </c>
    </row>
    <row r="27" spans="1:23" s="27" customFormat="1" ht="24" customHeight="1">
      <c r="A27" s="120">
        <v>19</v>
      </c>
      <c r="B27" s="25" t="s">
        <v>70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105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71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72</v>
      </c>
      <c r="C30" s="7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W30" s="19">
        <f t="shared" si="6"/>
        <v>0</v>
      </c>
    </row>
    <row r="31" spans="1:23" ht="24" customHeight="1">
      <c r="A31" s="120">
        <v>23</v>
      </c>
      <c r="B31" s="25" t="s">
        <v>73</v>
      </c>
      <c r="C31" s="8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W31" s="19">
        <f t="shared" si="6"/>
        <v>0</v>
      </c>
    </row>
    <row r="32" spans="1:23" ht="24" customHeight="1">
      <c r="A32" s="120">
        <v>24</v>
      </c>
      <c r="B32" s="25" t="s">
        <v>74</v>
      </c>
      <c r="C32" s="8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W32" s="19">
        <f t="shared" si="6"/>
        <v>0</v>
      </c>
    </row>
    <row r="33" spans="1:23" ht="24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76</v>
      </c>
      <c r="C34" s="41">
        <v>-164.6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2321.9</v>
      </c>
      <c r="H34" s="18">
        <v>2268.9</v>
      </c>
      <c r="I34" s="18">
        <f t="shared" si="1"/>
        <v>97.71738662302425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53</v>
      </c>
      <c r="U34" s="16">
        <f aca="true" t="shared" si="14" ref="U34:U43">C34+G34-H34</f>
        <v>-111.59999999999991</v>
      </c>
      <c r="W34" s="19">
        <f t="shared" si="6"/>
        <v>53</v>
      </c>
    </row>
    <row r="35" spans="1:23" ht="24.75" customHeight="1">
      <c r="A35" s="121"/>
      <c r="B35" s="25" t="s">
        <v>77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5094.6</v>
      </c>
      <c r="H35" s="18">
        <v>5376</v>
      </c>
      <c r="I35" s="18">
        <f t="shared" si="1"/>
        <v>105.52349546578729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-281.39999999999964</v>
      </c>
      <c r="U35" s="16">
        <f t="shared" si="14"/>
        <v>-281.39999999999964</v>
      </c>
      <c r="W35" s="19">
        <f t="shared" si="6"/>
        <v>-281.39999999999964</v>
      </c>
    </row>
    <row r="36" spans="1:23" ht="37.5" customHeight="1">
      <c r="A36" s="120">
        <v>26</v>
      </c>
      <c r="B36" s="25" t="s">
        <v>106</v>
      </c>
      <c r="C36" s="41">
        <v>0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1275.9</v>
      </c>
      <c r="H36" s="18">
        <v>1330.7</v>
      </c>
      <c r="I36" s="18">
        <f t="shared" si="1"/>
        <v>104.29500744572458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-54.799999999999955</v>
      </c>
      <c r="U36" s="16">
        <f t="shared" si="14"/>
        <v>-54.799999999999955</v>
      </c>
      <c r="W36" s="19">
        <f t="shared" si="6"/>
        <v>-54.799999999999955</v>
      </c>
    </row>
    <row r="37" spans="1:23" ht="24" customHeight="1">
      <c r="A37" s="120">
        <v>27</v>
      </c>
      <c r="B37" s="23" t="s">
        <v>78</v>
      </c>
      <c r="C37" s="41">
        <v>-85.2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1611.3</v>
      </c>
      <c r="H37" s="18">
        <v>1927.1</v>
      </c>
      <c r="I37" s="18">
        <f t="shared" si="1"/>
        <v>119.59908148699807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-315.79999999999995</v>
      </c>
      <c r="U37" s="16">
        <f t="shared" si="14"/>
        <v>-401</v>
      </c>
      <c r="W37" s="19">
        <f t="shared" si="6"/>
        <v>-315.79999999999995</v>
      </c>
    </row>
    <row r="38" spans="1:23" ht="24" customHeight="1">
      <c r="A38" s="120">
        <v>28</v>
      </c>
      <c r="B38" s="25" t="s">
        <v>79</v>
      </c>
      <c r="C38" s="41">
        <f>-300.2-(-319.8)</f>
        <v>19.600000000000023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4832.6-2383.7</f>
        <v>2448.9000000000005</v>
      </c>
      <c r="H38" s="18">
        <f>4631.2-2167.1</f>
        <v>2464.1</v>
      </c>
      <c r="I38" s="18">
        <f t="shared" si="1"/>
        <v>100.6206868389889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-15.199999999999363</v>
      </c>
      <c r="U38" s="16">
        <f t="shared" si="14"/>
        <v>4.400000000000546</v>
      </c>
      <c r="W38" s="19">
        <f t="shared" si="6"/>
        <v>-15.199999999999363</v>
      </c>
    </row>
    <row r="39" spans="1:23" ht="24" customHeight="1">
      <c r="A39" s="120">
        <v>29</v>
      </c>
      <c r="B39" s="25" t="s">
        <v>80</v>
      </c>
      <c r="C39" s="41">
        <v>-127.9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1254.8</v>
      </c>
      <c r="H39" s="18">
        <v>1677.4</v>
      </c>
      <c r="I39" s="18">
        <f t="shared" si="1"/>
        <v>133.67867389225376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-422.60000000000014</v>
      </c>
      <c r="U39" s="16">
        <f t="shared" si="14"/>
        <v>-550.5000000000002</v>
      </c>
      <c r="W39" s="19">
        <f t="shared" si="6"/>
        <v>-422.60000000000014</v>
      </c>
    </row>
    <row r="40" spans="1:23" s="27" customFormat="1" ht="37.5" customHeight="1">
      <c r="A40" s="120">
        <v>30</v>
      </c>
      <c r="B40" s="25" t="s">
        <v>107</v>
      </c>
      <c r="C40" s="41">
        <v>-111.5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2540.1</v>
      </c>
      <c r="H40" s="18">
        <v>2615.8</v>
      </c>
      <c r="I40" s="18">
        <f t="shared" si="1"/>
        <v>102.98019763001459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-75.70000000000027</v>
      </c>
      <c r="U40" s="16">
        <f t="shared" si="14"/>
        <v>-187.20000000000027</v>
      </c>
      <c r="W40" s="19">
        <f t="shared" si="6"/>
        <v>-75.70000000000027</v>
      </c>
    </row>
    <row r="41" spans="1:23" ht="24.75" customHeight="1">
      <c r="A41" s="120">
        <v>31</v>
      </c>
      <c r="B41" s="25" t="s">
        <v>81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82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83</v>
      </c>
      <c r="C43" s="41">
        <v>-135.6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1766.9</v>
      </c>
      <c r="H43" s="18">
        <v>1993.9</v>
      </c>
      <c r="I43" s="18">
        <f t="shared" si="1"/>
        <v>112.84735978267022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-227</v>
      </c>
      <c r="U43" s="16">
        <f t="shared" si="14"/>
        <v>-362.5999999999999</v>
      </c>
      <c r="W43" s="19">
        <f t="shared" si="6"/>
        <v>-227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-2295.1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107020</v>
      </c>
      <c r="H44" s="16">
        <f>H45+H46+H47</f>
        <v>106510</v>
      </c>
      <c r="I44" s="17">
        <f t="shared" si="1"/>
        <v>99.52345356008223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510</v>
      </c>
      <c r="U44" s="59">
        <f>SUMIF(U45:U47,"&gt;0",U45:U47)</f>
        <v>110.89999999999964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85</v>
      </c>
      <c r="C45" s="41">
        <v>-2282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98790</v>
      </c>
      <c r="H45" s="18">
        <f>94581+3823</f>
        <v>98404</v>
      </c>
      <c r="I45" s="18">
        <f t="shared" si="1"/>
        <v>99.60927219354186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386</v>
      </c>
      <c r="U45" s="24">
        <f>C45+G45-H45</f>
        <v>-1896</v>
      </c>
      <c r="W45" s="19">
        <f t="shared" si="6"/>
        <v>386</v>
      </c>
    </row>
    <row r="46" spans="1:23" s="28" customFormat="1" ht="24.75" customHeight="1">
      <c r="A46" s="122"/>
      <c r="B46" s="23" t="s">
        <v>86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77</v>
      </c>
      <c r="C47" s="41">
        <v>-13.1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8230</v>
      </c>
      <c r="H47" s="18">
        <v>8106</v>
      </c>
      <c r="I47" s="18">
        <f>H47/G47*100</f>
        <v>98.49331713244229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124</v>
      </c>
      <c r="U47" s="24">
        <f>C47+G47-H47</f>
        <v>110.89999999999964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87</v>
      </c>
      <c r="C48" s="42">
        <f>C8+C44</f>
        <v>-3749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135698.8</v>
      </c>
      <c r="H48" s="16">
        <f>H8+H44</f>
        <v>136655</v>
      </c>
      <c r="I48" s="17">
        <f>H48/G48*100</f>
        <v>100.70464882519228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929.7999999999997</v>
      </c>
      <c r="U48" s="59">
        <f>U44+U8</f>
        <v>115.30000000000018</v>
      </c>
      <c r="V48" s="108">
        <f>V44+V8</f>
        <v>-2045.8999999999994</v>
      </c>
      <c r="W48" s="108">
        <f>W44+W8</f>
        <v>-2924.5000000000005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-16561.300000000003</v>
      </c>
    </row>
    <row r="50" spans="1:23" s="7" customFormat="1" ht="18.75" customHeight="1" hidden="1">
      <c r="A50" s="122"/>
      <c r="B50" s="7" t="s">
        <v>92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-956.2000000000116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93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-853.0562106617986</v>
      </c>
      <c r="F53" s="58"/>
      <c r="G53" s="62">
        <f>G44-H44</f>
        <v>510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3.5" customHeight="1">
      <c r="A54" s="142"/>
      <c r="B54" s="216" t="s">
        <v>119</v>
      </c>
      <c r="C54" s="216"/>
      <c r="D54" s="216"/>
      <c r="E54" s="216"/>
      <c r="F54" s="216"/>
      <c r="G54" s="216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118</v>
      </c>
      <c r="V54" s="148"/>
      <c r="W54" s="149"/>
    </row>
    <row r="55" spans="2:21" ht="42" customHeight="1" hidden="1">
      <c r="B55" s="239" t="s">
        <v>41</v>
      </c>
      <c r="C55" s="239"/>
      <c r="D55" s="239"/>
      <c r="E55" s="239"/>
      <c r="F55" s="23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77" t="s">
        <v>116</v>
      </c>
      <c r="B56" s="177"/>
      <c r="C56" s="177"/>
      <c r="D56" s="177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43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44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-221.60000000000002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-1191.4</v>
      </c>
    </row>
    <row r="63" spans="2:21" ht="18.75">
      <c r="B63" s="1" t="s">
        <v>46</v>
      </c>
      <c r="C63" s="43">
        <f>C12+C14+C15+C17+C19+C20+C26</f>
        <v>-225.8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-121.00000000000011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80" zoomScaleNormal="75" zoomScaleSheetLayoutView="80" zoomScalePageLayoutView="0" workbookViewId="0" topLeftCell="A1">
      <pane xSplit="2" ySplit="7" topLeftCell="C1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3" sqref="I23"/>
    </sheetView>
  </sheetViews>
  <sheetFormatPr defaultColWidth="7.875" defaultRowHeight="12.75"/>
  <cols>
    <col min="1" max="1" width="6.75390625" style="14" customWidth="1"/>
    <col min="2" max="2" width="66.00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00" t="s">
        <v>98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2:21" ht="18.75">
      <c r="B2" s="200" t="s">
        <v>121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01"/>
      <c r="C4" s="201"/>
      <c r="D4" s="201"/>
      <c r="E4" s="201"/>
      <c r="F4" s="201"/>
      <c r="U4" s="74" t="s">
        <v>99</v>
      </c>
    </row>
    <row r="5" spans="1:21" ht="41.25" customHeight="1">
      <c r="A5" s="117"/>
      <c r="B5" s="3"/>
      <c r="C5" s="202" t="s">
        <v>1</v>
      </c>
      <c r="D5" s="222" t="s">
        <v>110</v>
      </c>
      <c r="E5" s="223"/>
      <c r="F5" s="224"/>
      <c r="G5" s="190" t="s">
        <v>124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122</v>
      </c>
      <c r="U5" s="187" t="s">
        <v>123</v>
      </c>
    </row>
    <row r="6" spans="1:21" ht="18.75">
      <c r="A6" s="4" t="s">
        <v>39</v>
      </c>
      <c r="B6" s="4" t="s">
        <v>50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22"/>
      <c r="B8" s="75" t="s">
        <v>55</v>
      </c>
      <c r="C8" s="40">
        <f>SUM(C9:C43)</f>
        <v>6192.599999999999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22667.2</v>
      </c>
      <c r="H8" s="17">
        <f>SUM(H9:H43)</f>
        <v>21647.1</v>
      </c>
      <c r="I8" s="17">
        <f aca="true" t="shared" si="1" ref="I8:I29">H8/G8*100</f>
        <v>95.49966471377142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3824.6000000000004</v>
      </c>
      <c r="U8" s="60">
        <f>SUMIF(U9:U43,"&gt;0",U9:U43)</f>
        <v>7354.500000000002</v>
      </c>
      <c r="V8" s="105">
        <f>SUMIF(T9:T43,"&lt;0",T9:T43)</f>
        <v>-2805.8999999999996</v>
      </c>
      <c r="W8" s="105">
        <f>SUMIF(U9:U43,"&lt;0",U9:U43)</f>
        <v>-141.79999999999978</v>
      </c>
    </row>
    <row r="9" spans="1:21" ht="38.25" customHeight="1">
      <c r="A9" s="120">
        <v>1</v>
      </c>
      <c r="B9" s="23" t="s">
        <v>56</v>
      </c>
      <c r="C9" s="41">
        <v>616.4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2719.5</v>
      </c>
      <c r="H9" s="18">
        <v>3158.6</v>
      </c>
      <c r="I9" s="18">
        <f t="shared" si="1"/>
        <v>116.14635043206472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-439.0999999999999</v>
      </c>
      <c r="U9" s="16">
        <f aca="true" t="shared" si="4" ref="U9:U22">C9+G9-H9</f>
        <v>177.30000000000018</v>
      </c>
    </row>
    <row r="10" spans="1:21" ht="38.25" customHeight="1">
      <c r="A10" s="120">
        <v>2</v>
      </c>
      <c r="B10" s="53" t="s">
        <v>91</v>
      </c>
      <c r="C10" s="41">
        <v>25.1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397.6</v>
      </c>
      <c r="H10" s="18">
        <v>452</v>
      </c>
      <c r="I10" s="18">
        <f t="shared" si="1"/>
        <v>113.68209255533199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-54.39999999999998</v>
      </c>
      <c r="U10" s="16">
        <f t="shared" si="4"/>
        <v>-29.299999999999955</v>
      </c>
    </row>
    <row r="11" spans="1:21" ht="38.25" customHeight="1">
      <c r="A11" s="120">
        <v>3</v>
      </c>
      <c r="B11" s="25" t="s">
        <v>108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57</v>
      </c>
      <c r="C12" s="41">
        <v>-6.1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22.2</v>
      </c>
      <c r="H12" s="18">
        <v>21.6</v>
      </c>
      <c r="I12" s="18">
        <f t="shared" si="1"/>
        <v>97.2972972972973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0.5999999999999979</v>
      </c>
      <c r="U12" s="16">
        <f t="shared" si="4"/>
        <v>-5.5</v>
      </c>
    </row>
    <row r="13" spans="1:21" ht="23.25" customHeight="1">
      <c r="A13" s="120">
        <v>5</v>
      </c>
      <c r="B13" s="23" t="s">
        <v>89</v>
      </c>
      <c r="C13" s="41">
        <v>55.1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396.1</v>
      </c>
      <c r="H13" s="18">
        <v>498.9</v>
      </c>
      <c r="I13" s="18">
        <f t="shared" si="1"/>
        <v>125.95304216107041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-102.79999999999995</v>
      </c>
      <c r="U13" s="16">
        <f t="shared" si="4"/>
        <v>-47.69999999999993</v>
      </c>
    </row>
    <row r="14" spans="1:21" ht="23.25" customHeight="1">
      <c r="A14" s="120">
        <v>6</v>
      </c>
      <c r="B14" s="23" t="s">
        <v>58</v>
      </c>
      <c r="C14" s="41">
        <v>76.9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244.7</v>
      </c>
      <c r="H14" s="18">
        <v>316.4</v>
      </c>
      <c r="I14" s="18">
        <f t="shared" si="1"/>
        <v>129.30118512464242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-71.69999999999999</v>
      </c>
      <c r="U14" s="16">
        <f t="shared" si="4"/>
        <v>5.2000000000000455</v>
      </c>
    </row>
    <row r="15" spans="1:21" ht="23.25" customHeight="1">
      <c r="A15" s="120">
        <v>7</v>
      </c>
      <c r="B15" s="23" t="s">
        <v>59</v>
      </c>
      <c r="C15" s="41">
        <v>0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6.2</v>
      </c>
      <c r="H15" s="18">
        <v>2.1</v>
      </c>
      <c r="I15" s="18">
        <f t="shared" si="1"/>
        <v>33.87096774193549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4.1</v>
      </c>
      <c r="U15" s="16">
        <f t="shared" si="4"/>
        <v>4.1</v>
      </c>
    </row>
    <row r="16" spans="1:21" ht="23.25" customHeight="1">
      <c r="A16" s="120">
        <v>8</v>
      </c>
      <c r="B16" s="23" t="s">
        <v>60</v>
      </c>
      <c r="C16" s="41">
        <v>199.9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591.6</v>
      </c>
      <c r="H16" s="18">
        <v>626</v>
      </c>
      <c r="I16" s="18">
        <f t="shared" si="1"/>
        <v>105.81473968897903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-34.39999999999998</v>
      </c>
      <c r="U16" s="16">
        <f t="shared" si="4"/>
        <v>165.5</v>
      </c>
    </row>
    <row r="17" spans="1:21" ht="23.25" customHeight="1">
      <c r="A17" s="120">
        <v>9</v>
      </c>
      <c r="B17" s="23" t="s">
        <v>61</v>
      </c>
      <c r="C17" s="41">
        <v>23.6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23.6</v>
      </c>
    </row>
    <row r="18" spans="1:21" ht="23.25" customHeight="1">
      <c r="A18" s="120">
        <v>10</v>
      </c>
      <c r="B18" s="25" t="s">
        <v>62</v>
      </c>
      <c r="C18" s="41">
        <v>97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164.1</v>
      </c>
      <c r="H18" s="18">
        <v>205.8</v>
      </c>
      <c r="I18" s="18">
        <f t="shared" si="1"/>
        <v>125.41133455210239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-41.70000000000002</v>
      </c>
      <c r="U18" s="16">
        <f t="shared" si="4"/>
        <v>55.30000000000001</v>
      </c>
    </row>
    <row r="19" spans="1:21" ht="23.25" customHeight="1">
      <c r="A19" s="120">
        <v>11</v>
      </c>
      <c r="B19" s="25" t="s">
        <v>63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90</v>
      </c>
      <c r="C20" s="41">
        <f>8.8+9.8</f>
        <v>18.6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57.1+27.1</f>
        <v>84.2</v>
      </c>
      <c r="H20" s="18">
        <f>78.7+34.3</f>
        <v>113</v>
      </c>
      <c r="I20" s="18">
        <f t="shared" si="1"/>
        <v>134.20427553444182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-28.799999999999997</v>
      </c>
      <c r="U20" s="16">
        <f t="shared" si="4"/>
        <v>-10.199999999999989</v>
      </c>
    </row>
    <row r="21" spans="1:21" ht="23.25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65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66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31.3</v>
      </c>
      <c r="H23" s="18">
        <v>34.3</v>
      </c>
      <c r="I23" s="18">
        <f t="shared" si="1"/>
        <v>109.5846645367412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-2.9999999999999964</v>
      </c>
      <c r="U23" s="16">
        <f>C23+G23-H23</f>
        <v>5.5</v>
      </c>
    </row>
    <row r="24" spans="1:21" ht="23.25" customHeight="1">
      <c r="A24" s="120">
        <v>16</v>
      </c>
      <c r="B24" s="25" t="s">
        <v>67</v>
      </c>
      <c r="C24" s="41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ht="42" customHeight="1">
      <c r="A25" s="120">
        <v>17</v>
      </c>
      <c r="B25" s="25" t="s">
        <v>68</v>
      </c>
      <c r="C25" s="41">
        <v>513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1395.9</v>
      </c>
      <c r="H25" s="18">
        <v>1685.1</v>
      </c>
      <c r="I25" s="18">
        <f t="shared" si="1"/>
        <v>120.71781646249731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-289.1999999999998</v>
      </c>
      <c r="U25" s="16">
        <f>C25+G25-H25</f>
        <v>223.80000000000018</v>
      </c>
    </row>
    <row r="26" spans="1:21" ht="23.25" customHeight="1">
      <c r="A26" s="120">
        <v>18</v>
      </c>
      <c r="B26" s="23" t="s">
        <v>69</v>
      </c>
      <c r="C26" s="41">
        <v>0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5.1</v>
      </c>
      <c r="H26" s="18">
        <v>3.7</v>
      </c>
      <c r="I26" s="18">
        <f t="shared" si="1"/>
        <v>72.54901960784315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/>
      <c r="U26" s="16">
        <f>C26+G26-H26</f>
        <v>1.3999999999999995</v>
      </c>
    </row>
    <row r="27" spans="1:21" ht="23.25" customHeight="1">
      <c r="A27" s="120">
        <v>19</v>
      </c>
      <c r="B27" s="25" t="s">
        <v>70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30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105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71</v>
      </c>
      <c r="C29" s="41">
        <f>21.5+84.4</f>
        <v>105.9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593.2</v>
      </c>
      <c r="H29" s="18">
        <f>21.5+561.5</f>
        <v>583</v>
      </c>
      <c r="I29" s="18">
        <f t="shared" si="1"/>
        <v>98.2805124747134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10.200000000000045</v>
      </c>
      <c r="U29" s="16">
        <f>C29+G29-H29</f>
        <v>116.10000000000002</v>
      </c>
    </row>
    <row r="30" spans="1:21" ht="23.25" customHeight="1">
      <c r="A30" s="120">
        <v>22</v>
      </c>
      <c r="B30" s="23" t="s">
        <v>72</v>
      </c>
      <c r="C30" s="7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23.25" customHeight="1">
      <c r="A31" s="120">
        <v>23</v>
      </c>
      <c r="B31" s="25" t="s">
        <v>73</v>
      </c>
      <c r="C31" s="8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23.25" customHeight="1">
      <c r="A32" s="120">
        <v>24</v>
      </c>
      <c r="B32" s="25" t="s">
        <v>74</v>
      </c>
      <c r="C32" s="8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</row>
    <row r="33" spans="1:21" ht="23.25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76</v>
      </c>
      <c r="C34" s="41">
        <v>232.6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v>649.8</v>
      </c>
      <c r="H34" s="18">
        <v>760.5</v>
      </c>
      <c r="I34" s="18">
        <f t="shared" si="10"/>
        <v>117.03601108033241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-110.70000000000005</v>
      </c>
      <c r="U34" s="16">
        <f aca="true" t="shared" si="13" ref="U34:U43">C34+G34-H34</f>
        <v>121.89999999999998</v>
      </c>
    </row>
    <row r="35" spans="1:21" ht="24.75" customHeight="1">
      <c r="A35" s="121"/>
      <c r="B35" s="25" t="s">
        <v>77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106</v>
      </c>
      <c r="C36" s="41">
        <v>1363.4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4347.3</v>
      </c>
      <c r="H36" s="18">
        <v>683.3</v>
      </c>
      <c r="I36" s="18">
        <f t="shared" si="10"/>
        <v>15.717801854024335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3664</v>
      </c>
      <c r="U36" s="16">
        <f t="shared" si="13"/>
        <v>5027.400000000001</v>
      </c>
    </row>
    <row r="37" spans="1:21" ht="23.25" customHeight="1">
      <c r="A37" s="120">
        <v>27</v>
      </c>
      <c r="B37" s="23" t="s">
        <v>78</v>
      </c>
      <c r="C37" s="41">
        <v>81.3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261.6</v>
      </c>
      <c r="H37" s="18">
        <v>320.6</v>
      </c>
      <c r="I37" s="18">
        <f t="shared" si="10"/>
        <v>122.55351681957187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-59</v>
      </c>
      <c r="U37" s="16">
        <f t="shared" si="13"/>
        <v>22.30000000000001</v>
      </c>
    </row>
    <row r="38" spans="1:21" ht="23.25" customHeight="1">
      <c r="A38" s="120">
        <v>28</v>
      </c>
      <c r="B38" s="25" t="s">
        <v>79</v>
      </c>
      <c r="C38" s="41">
        <v>924.7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1904.6</v>
      </c>
      <c r="H38" s="18">
        <v>2568</v>
      </c>
      <c r="I38" s="18">
        <f t="shared" si="10"/>
        <v>134.8314606741573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-663.4000000000001</v>
      </c>
      <c r="U38" s="69">
        <f t="shared" si="13"/>
        <v>261.3000000000002</v>
      </c>
    </row>
    <row r="39" spans="1:21" ht="23.25" customHeight="1">
      <c r="A39" s="120">
        <v>29</v>
      </c>
      <c r="B39" s="25" t="s">
        <v>80</v>
      </c>
      <c r="C39" s="41">
        <v>630.9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2500.7</v>
      </c>
      <c r="H39" s="18">
        <v>2949.2</v>
      </c>
      <c r="I39" s="18">
        <f t="shared" si="10"/>
        <v>117.9349782061023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-448.5</v>
      </c>
      <c r="U39" s="16">
        <f t="shared" si="13"/>
        <v>182.4000000000001</v>
      </c>
    </row>
    <row r="40" spans="1:21" ht="35.25" customHeight="1">
      <c r="A40" s="120">
        <v>30</v>
      </c>
      <c r="B40" s="25" t="s">
        <v>107</v>
      </c>
      <c r="C40" s="41">
        <v>448.7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4046.4</v>
      </c>
      <c r="H40" s="18">
        <v>3900.7</v>
      </c>
      <c r="I40" s="18">
        <f t="shared" si="10"/>
        <v>96.39926848556742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145.70000000000027</v>
      </c>
      <c r="U40" s="16">
        <f t="shared" si="13"/>
        <v>594.4000000000005</v>
      </c>
    </row>
    <row r="41" spans="1:21" ht="23.25" customHeight="1">
      <c r="A41" s="120">
        <v>31</v>
      </c>
      <c r="B41" s="25" t="s">
        <v>81</v>
      </c>
      <c r="C41" s="41">
        <v>19.2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34.1</v>
      </c>
      <c r="H41" s="18">
        <v>37.7</v>
      </c>
      <c r="I41" s="18">
        <f t="shared" si="10"/>
        <v>110.55718475073316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-3.6000000000000014</v>
      </c>
      <c r="U41" s="16">
        <f t="shared" si="13"/>
        <v>15.599999999999994</v>
      </c>
    </row>
    <row r="42" spans="1:21" ht="35.25" customHeight="1">
      <c r="A42" s="120">
        <v>32</v>
      </c>
      <c r="B42" s="23" t="s">
        <v>82</v>
      </c>
      <c r="C42" s="41">
        <v>572.7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1091.3</v>
      </c>
      <c r="H42" s="18">
        <v>1314.8</v>
      </c>
      <c r="I42" s="18">
        <f t="shared" si="10"/>
        <v>120.48016127554293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-223.5</v>
      </c>
      <c r="U42" s="16">
        <f t="shared" si="13"/>
        <v>349.20000000000005</v>
      </c>
    </row>
    <row r="43" spans="1:21" ht="23.25" customHeight="1">
      <c r="A43" s="120">
        <v>33</v>
      </c>
      <c r="B43" s="25" t="s">
        <v>83</v>
      </c>
      <c r="C43" s="41">
        <v>183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1179.7</v>
      </c>
      <c r="H43" s="18">
        <v>1411.8</v>
      </c>
      <c r="I43" s="18">
        <f t="shared" si="10"/>
        <v>119.67449351530048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-232.0999999999999</v>
      </c>
      <c r="U43" s="16">
        <f t="shared" si="13"/>
        <v>-49.09999999999991</v>
      </c>
    </row>
    <row r="44" spans="1:23" s="7" customFormat="1" ht="23.25" customHeight="1">
      <c r="A44" s="122">
        <v>34</v>
      </c>
      <c r="B44" s="6" t="s">
        <v>84</v>
      </c>
      <c r="C44" s="42">
        <f aca="true" t="shared" si="19" ref="C44:H44">C45+C46+C47</f>
        <v>95088.3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337561.1</v>
      </c>
      <c r="H44" s="42">
        <f t="shared" si="19"/>
        <v>346090.19999999995</v>
      </c>
      <c r="I44" s="17">
        <f t="shared" si="10"/>
        <v>102.52668331747941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11679.2</v>
      </c>
      <c r="U44" s="59">
        <f>SUMIF(U45:U47,"&gt;0",U45:U47)</f>
        <v>107609.3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85</v>
      </c>
      <c r="C45" s="41">
        <v>95402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236576</v>
      </c>
      <c r="H45" s="18">
        <f>212820+12289</f>
        <v>225109</v>
      </c>
      <c r="I45" s="18">
        <f t="shared" si="10"/>
        <v>95.1529318274043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11467</v>
      </c>
      <c r="U45" s="24">
        <f>C45+G45-H45</f>
        <v>106869</v>
      </c>
    </row>
    <row r="46" spans="1:21" s="7" customFormat="1" ht="23.25" customHeight="1">
      <c r="A46" s="122"/>
      <c r="B46" s="23" t="s">
        <v>86</v>
      </c>
      <c r="C46" s="41">
        <v>-841.8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f>90119.6+8952.2</f>
        <v>99071.8</v>
      </c>
      <c r="H46" s="18">
        <v>119280.1</v>
      </c>
      <c r="I46" s="18">
        <f t="shared" si="10"/>
        <v>120.39763080917072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-20208.300000000003</v>
      </c>
      <c r="U46" s="24">
        <f>C46+G46-H46</f>
        <v>-21050.100000000006</v>
      </c>
    </row>
    <row r="47" spans="1:21" s="7" customFormat="1" ht="24.75" customHeight="1">
      <c r="A47" s="122"/>
      <c r="B47" s="23" t="s">
        <v>77</v>
      </c>
      <c r="C47" s="41">
        <v>528.1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1913.3</v>
      </c>
      <c r="H47" s="18">
        <v>1701.1</v>
      </c>
      <c r="I47" s="18">
        <f>H47/G47*100</f>
        <v>88.9092144462447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212.20000000000005</v>
      </c>
      <c r="U47" s="24">
        <f>C47+G47-H47</f>
        <v>740.3000000000002</v>
      </c>
    </row>
    <row r="48" spans="1:23" s="7" customFormat="1" ht="23.25" customHeight="1">
      <c r="A48" s="122"/>
      <c r="B48" s="6" t="s">
        <v>87</v>
      </c>
      <c r="C48" s="42">
        <f>C8+C44</f>
        <v>101280.90000000001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360228.3</v>
      </c>
      <c r="H48" s="16">
        <f>H8+H44</f>
        <v>367737.29999999993</v>
      </c>
      <c r="I48" s="17">
        <f t="shared" si="10"/>
        <v>102.08451140568356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15503.800000000001</v>
      </c>
      <c r="U48" s="59">
        <f>U44+U8</f>
        <v>114963.8</v>
      </c>
      <c r="V48" s="108">
        <f>V44+V8</f>
        <v>-4806.4</v>
      </c>
      <c r="W48" s="108">
        <f>W44+W8</f>
        <v>-3811.7999999999997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92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93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5.75" customHeight="1">
      <c r="A54" s="142"/>
      <c r="B54" s="216" t="s">
        <v>119</v>
      </c>
      <c r="C54" s="216"/>
      <c r="D54" s="216"/>
      <c r="E54" s="216"/>
      <c r="F54" s="216"/>
      <c r="G54" s="216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118</v>
      </c>
      <c r="V54" s="148"/>
      <c r="W54" s="149"/>
    </row>
    <row r="55" spans="2:21" ht="46.5" customHeight="1" hidden="1">
      <c r="B55" s="239" t="s">
        <v>41</v>
      </c>
      <c r="C55" s="239"/>
      <c r="D55" s="239"/>
      <c r="E55" s="239"/>
      <c r="F55" s="23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77" t="s">
        <v>116</v>
      </c>
      <c r="B56" s="177"/>
      <c r="C56" s="177"/>
      <c r="D56" s="177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43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44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855.7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248.50000000000014</v>
      </c>
    </row>
    <row r="63" spans="2:21" ht="18.75">
      <c r="B63" s="1" t="s">
        <v>46</v>
      </c>
      <c r="C63" s="43">
        <f>C12+C14+C15+C17+C19+C20+C26</f>
        <v>113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18.60000000000006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D24:U24"/>
    <mergeCell ref="D30:U32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2015-12-17T07:53:26Z</cp:lastPrinted>
  <dcterms:created xsi:type="dcterms:W3CDTF">2001-09-14T09:33:50Z</dcterms:created>
  <dcterms:modified xsi:type="dcterms:W3CDTF">2015-12-17T07:54:17Z</dcterms:modified>
  <cp:category/>
  <cp:version/>
  <cp:contentType/>
  <cp:contentStatus/>
</cp:coreProperties>
</file>